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60" windowHeight="4440" tabRatio="908" activeTab="1"/>
  </bookViews>
  <sheets>
    <sheet name="Vejl" sheetId="1" r:id="rId1"/>
    <sheet name="Strategi" sheetId="2" r:id="rId2"/>
    <sheet name="Start" sheetId="3" r:id="rId3"/>
    <sheet name="Mark" sheetId="4" r:id="rId4"/>
    <sheet name="Kvæg" sheetId="5" r:id="rId5"/>
    <sheet name="Diverse" sheetId="6" r:id="rId6"/>
    <sheet name="Årsbudget" sheetId="7" r:id="rId7"/>
    <sheet name="Kladde" sheetId="8" r:id="rId8"/>
    <sheet name="DIV.b" sheetId="9" r:id="rId9"/>
    <sheet name="Grafer" sheetId="10" r:id="rId10"/>
    <sheet name="Følsomhed" sheetId="11" r:id="rId11"/>
  </sheets>
  <externalReferences>
    <externalReference r:id="rId14"/>
  </externalReferences>
  <definedNames/>
  <calcPr fullCalcOnLoad="1"/>
</workbook>
</file>

<file path=xl/comments1.xml><?xml version="1.0" encoding="utf-8"?>
<comments xmlns="http://schemas.openxmlformats.org/spreadsheetml/2006/main">
  <authors>
    <author>Kresten S?gaard</author>
  </authors>
  <commentList>
    <comment ref="B50" authorId="0">
      <text>
        <r>
          <rPr>
            <b/>
            <sz val="8"/>
            <rFont val="Tahoma"/>
            <family val="2"/>
          </rPr>
          <t>Formålet med det strategiske arbejde er at sikre, at landmanden og hans familie bliver bevidste om deres mål og derefter sikre, at arbejdet prioriteres, så målene nås. Dette tema præsenterer kort nogle af de strategiske værktøjer, og eksemplerne vil forhåbentlig anspore til, at der tænkes strategisk, og at der diskuteres strategi med familie, ansatte, rådgivere.</t>
        </r>
      </text>
    </comment>
    <comment ref="B52" authorId="0">
      <text>
        <r>
          <rPr>
            <b/>
            <sz val="8"/>
            <rFont val="Tahoma"/>
            <family val="2"/>
          </rPr>
          <t>Vores vision er at drive et moderne og konkurrencedygtigt landbrug med planteavl og svineavl der er  i udvikling. Planteproduktionen skal være af bedste kvalitet, og der satses primært på produktion af korn til egen opfodring.
Der satses udelukket på salg af 30 kg. grise.
 Selve produktionen skal bidrage positivt til bedriftens økonomi.</t>
        </r>
      </text>
    </comment>
    <comment ref="B67" authorId="0">
      <text>
        <r>
          <rPr>
            <b/>
            <sz val="8"/>
            <rFont val="Tahoma"/>
            <family val="2"/>
          </rPr>
          <t>Alle poster hvor der er væsentlige ændringer i forhold til sidste år skal have en begrundelse på de ændrede forhold.</t>
        </r>
      </text>
    </comment>
  </commentList>
</comments>
</file>

<file path=xl/comments2.xml><?xml version="1.0" encoding="utf-8"?>
<comments xmlns="http://schemas.openxmlformats.org/spreadsheetml/2006/main">
  <authors>
    <author>Kresten</author>
  </authors>
  <commentList>
    <comment ref="H9" authorId="0">
      <text>
        <r>
          <rPr>
            <b/>
            <sz val="9"/>
            <rFont val="Tahoma"/>
            <family val="0"/>
          </rPr>
          <t>Det er væsentlig at der ved mulige tiltag til løsninger nås hele vejen rundt, herunder også gennemgang af samtlige omkostnings-
poster med henblik på størst mulig reduktion af omkostninger og sikring af tæt styring og opfølgning</t>
        </r>
      </text>
    </comment>
  </commentList>
</comments>
</file>

<file path=xl/comments3.xml><?xml version="1.0" encoding="utf-8"?>
<comments xmlns="http://schemas.openxmlformats.org/spreadsheetml/2006/main">
  <authors>
    <author>En tilfreds Microsoft Office-bruger</author>
    <author>Kresten S?gaard</author>
    <author>kresten</author>
    <author>Ekstra</author>
    <author>Kresten</author>
  </authors>
  <commentList>
    <comment ref="E39" authorId="0">
      <text>
        <r>
          <rPr>
            <sz val="8"/>
            <rFont val="Tahoma"/>
            <family val="2"/>
          </rPr>
          <t xml:space="preserve">Incl. lønafhængige omkostninger.
</t>
        </r>
      </text>
    </comment>
    <comment ref="E110" authorId="0">
      <text>
        <r>
          <rPr>
            <sz val="8"/>
            <rFont val="Tahoma"/>
            <family val="2"/>
          </rPr>
          <t xml:space="preserve">Børnetilskud, gaver og andre skattefri indtægter.
</t>
        </r>
      </text>
    </comment>
    <comment ref="F122" authorId="0">
      <text>
        <r>
          <rPr>
            <sz val="8"/>
            <rFont val="Tahoma"/>
            <family val="2"/>
          </rPr>
          <t>Skriv måned for køb.</t>
        </r>
      </text>
    </comment>
    <comment ref="E160" authorId="0">
      <text>
        <r>
          <rPr>
            <sz val="8"/>
            <rFont val="Tahoma"/>
            <family val="2"/>
          </rPr>
          <t xml:space="preserve">Køb af værdipapirer.
</t>
        </r>
      </text>
    </comment>
    <comment ref="F160" authorId="0">
      <text>
        <r>
          <rPr>
            <sz val="8"/>
            <rFont val="Tahoma"/>
            <family val="2"/>
          </rPr>
          <t>Salg af værdipapirer.</t>
        </r>
      </text>
    </comment>
    <comment ref="E161" authorId="0">
      <text>
        <r>
          <rPr>
            <sz val="8"/>
            <rFont val="Tahoma"/>
            <family val="2"/>
          </rPr>
          <t>Stigning i varebeholdning.</t>
        </r>
      </text>
    </comment>
    <comment ref="F161" authorId="0">
      <text>
        <r>
          <rPr>
            <sz val="8"/>
            <rFont val="Tahoma"/>
            <family val="2"/>
          </rPr>
          <t>Nedgang i varebeholdning.</t>
        </r>
      </text>
    </comment>
    <comment ref="E163" authorId="0">
      <text>
        <r>
          <rPr>
            <sz val="8"/>
            <rFont val="Tahoma"/>
            <family val="2"/>
          </rPr>
          <t xml:space="preserve">Stigning i tilgodehavender.
</t>
        </r>
      </text>
    </comment>
    <comment ref="F163" authorId="0">
      <text>
        <r>
          <rPr>
            <sz val="8"/>
            <rFont val="Tahoma"/>
            <family val="2"/>
          </rPr>
          <t>Fald i tilgodehavender.</t>
        </r>
      </text>
    </comment>
    <comment ref="E165" authorId="0">
      <text>
        <r>
          <rPr>
            <sz val="8"/>
            <rFont val="Tahoma"/>
            <family val="2"/>
          </rPr>
          <t>Køb private aktiver.</t>
        </r>
      </text>
    </comment>
    <comment ref="F165" authorId="0">
      <text>
        <r>
          <rPr>
            <sz val="8"/>
            <rFont val="Tahoma"/>
            <family val="2"/>
          </rPr>
          <t>Salg private aktiver</t>
        </r>
      </text>
    </comment>
    <comment ref="E171" authorId="0">
      <text>
        <r>
          <rPr>
            <sz val="8"/>
            <rFont val="Tahoma"/>
            <family val="2"/>
          </rPr>
          <t xml:space="preserve">Hvis ægtefællen ikke udnytter personfradraget skal der anføres dobbelt fradrag her.
</t>
        </r>
      </text>
    </comment>
    <comment ref="A41" authorId="1">
      <text>
        <r>
          <rPr>
            <b/>
            <sz val="8"/>
            <rFont val="Tahoma"/>
            <family val="2"/>
          </rPr>
          <t>m = momsberegning.</t>
        </r>
        <r>
          <rPr>
            <sz val="8"/>
            <rFont val="Tahoma"/>
            <family val="2"/>
          </rPr>
          <t xml:space="preserve">
</t>
        </r>
      </text>
    </comment>
    <comment ref="D161" authorId="1">
      <text>
        <r>
          <rPr>
            <sz val="8"/>
            <rFont val="Tahoma"/>
            <family val="2"/>
          </rPr>
          <t xml:space="preserve">Varebeholdning som ikke er beregnet for salg.
</t>
        </r>
      </text>
    </comment>
    <comment ref="N86" authorId="1">
      <text>
        <r>
          <rPr>
            <sz val="8"/>
            <rFont val="Tahoma"/>
            <family val="2"/>
          </rPr>
          <t xml:space="preserve">Der må kun være  X i en af felterne.
</t>
        </r>
      </text>
    </comment>
    <comment ref="S86" authorId="1">
      <text>
        <r>
          <rPr>
            <sz val="8"/>
            <rFont val="Tahoma"/>
            <family val="2"/>
          </rPr>
          <t xml:space="preserve">Der må kun være  X i en af felterne.
</t>
        </r>
      </text>
    </comment>
    <comment ref="X86" authorId="1">
      <text>
        <r>
          <rPr>
            <sz val="8"/>
            <rFont val="Tahoma"/>
            <family val="2"/>
          </rPr>
          <t xml:space="preserve">Der må kun være  X i en af felterne.
</t>
        </r>
      </text>
    </comment>
    <comment ref="AC86" authorId="1">
      <text>
        <r>
          <rPr>
            <sz val="8"/>
            <rFont val="Tahoma"/>
            <family val="2"/>
          </rPr>
          <t xml:space="preserve">Der må kun være  X i en af felterne.
</t>
        </r>
      </text>
    </comment>
    <comment ref="AH90" authorId="2">
      <text>
        <r>
          <rPr>
            <sz val="8"/>
            <rFont val="Tahoma"/>
            <family val="2"/>
          </rPr>
          <t xml:space="preserve">Restgæld gl. lån.
</t>
        </r>
      </text>
    </comment>
    <comment ref="AH41" authorId="2">
      <text>
        <r>
          <rPr>
            <sz val="8"/>
            <rFont val="Tahoma"/>
            <family val="2"/>
          </rPr>
          <t xml:space="preserve">Restgæld gl. lån.
</t>
        </r>
      </text>
    </comment>
    <comment ref="X61" authorId="1">
      <text>
        <r>
          <rPr>
            <sz val="8"/>
            <rFont val="Tahoma"/>
            <family val="2"/>
          </rPr>
          <t xml:space="preserve">Der må kun være  X i en af felterne.
</t>
        </r>
      </text>
    </comment>
    <comment ref="AC61" authorId="1">
      <text>
        <r>
          <rPr>
            <sz val="8"/>
            <rFont val="Tahoma"/>
            <family val="2"/>
          </rPr>
          <t xml:space="preserve">Der må kun være  X i en af felterne.
</t>
        </r>
      </text>
    </comment>
    <comment ref="AH65" authorId="2">
      <text>
        <r>
          <rPr>
            <sz val="8"/>
            <rFont val="Tahoma"/>
            <family val="2"/>
          </rPr>
          <t xml:space="preserve">Restgæld gl. lån.
</t>
        </r>
      </text>
    </comment>
    <comment ref="BB37" authorId="1">
      <text>
        <r>
          <rPr>
            <sz val="8"/>
            <rFont val="Tahoma"/>
            <family val="2"/>
          </rPr>
          <t xml:space="preserve">Der må kun være  X i en af felterne.
</t>
        </r>
      </text>
    </comment>
    <comment ref="B3" authorId="1">
      <text>
        <r>
          <rPr>
            <b/>
            <sz val="8"/>
            <rFont val="Tahoma"/>
            <family val="2"/>
          </rPr>
          <t xml:space="preserve">Denne side er kun beregnet til indtastning.
De celler der har en rød trekant i højre hjørne har en tekstforklaring som kan ses ved at klikke på cellen.
De tekster der har en understregning har en hyperlink til en celle eller et ark.
Ved at klikke på  understregede tekster kommer man frem til det pågældende ark eller celle.
For at komme tilbage til startsiden fra et ark skal man klikke på &lt; i venstre side.
Hvis et ark skal udskrives skal man stå i det pågældende ark og klikke på printeren.
De grå felter er til indtastning af tidligere års tal.
Det er naturligvis ikke nødvendig at indtaste tidligere års tal for at få et årsbudget, men programmet er indrettet således at ultimo balancen fra sidste år skal indtastet (celle F137 til F153)
Første gang programmet gemmes skal man gøre følgende:
Klik på filer (øverst i venstre hjørne)
Vælg gem som.
</t>
        </r>
      </text>
    </comment>
    <comment ref="E83" authorId="3">
      <text>
        <r>
          <rPr>
            <b/>
            <sz val="8"/>
            <rFont val="Tahoma"/>
            <family val="2"/>
          </rPr>
          <t xml:space="preserve">Klik her for at indsætte restgæld på lån m.v.
</t>
        </r>
      </text>
    </comment>
    <comment ref="E84" authorId="3">
      <text>
        <r>
          <rPr>
            <sz val="8"/>
            <rFont val="Tahoma"/>
            <family val="2"/>
          </rPr>
          <t>klik her for at indsætte restgæld på lån m.v.</t>
        </r>
      </text>
    </comment>
    <comment ref="E96" authorId="3">
      <text>
        <r>
          <rPr>
            <sz val="8"/>
            <rFont val="Tahoma"/>
            <family val="2"/>
          </rPr>
          <t>Klik her for at indsætte restgæld på lån m.v.</t>
        </r>
      </text>
    </comment>
    <comment ref="E149" authorId="2">
      <text>
        <r>
          <rPr>
            <b/>
            <sz val="8"/>
            <rFont val="Tahoma"/>
            <family val="2"/>
          </rPr>
          <t>Der må ikke stå noget i felt F325 hvis der uadarbejdes månedsvis likviditetsbudget.</t>
        </r>
      </text>
    </comment>
    <comment ref="E117" authorId="2">
      <text>
        <r>
          <rPr>
            <b/>
            <sz val="8"/>
            <rFont val="Tahoma"/>
            <family val="2"/>
          </rPr>
          <t>Skatter for begge ægtefæller.</t>
        </r>
      </text>
    </comment>
    <comment ref="A45" authorId="1">
      <text>
        <r>
          <rPr>
            <sz val="8"/>
            <rFont val="Tahoma"/>
            <family val="2"/>
          </rPr>
          <t xml:space="preserve">Hvis blank beregnes der ikke moms.
</t>
        </r>
      </text>
    </comment>
    <comment ref="F131" authorId="1">
      <text>
        <r>
          <rPr>
            <b/>
            <sz val="8"/>
            <rFont val="Tahoma"/>
            <family val="2"/>
          </rPr>
          <t>Aktiver og passiver skal stemme for dette år for at budgettet bliver rigtig.
Kolonnen er åbningstal
for budgettet.</t>
        </r>
      </text>
    </comment>
    <comment ref="F154" authorId="0">
      <text>
        <r>
          <rPr>
            <sz val="8"/>
            <rFont val="Tahoma"/>
            <family val="2"/>
          </rPr>
          <t>Salg af jord
.</t>
        </r>
      </text>
    </comment>
    <comment ref="E28" authorId="1">
      <text>
        <r>
          <rPr>
            <b/>
            <sz val="8"/>
            <rFont val="Tahoma"/>
            <family val="2"/>
          </rPr>
          <t>jan, feb, mar, apr, maj, jun, jul, aug, sep, okt, nov, dec.</t>
        </r>
      </text>
    </comment>
    <comment ref="E151" authorId="1">
      <text>
        <r>
          <rPr>
            <b/>
            <sz val="8"/>
            <rFont val="Tahoma"/>
            <family val="2"/>
          </rPr>
          <t xml:space="preserve">
</t>
        </r>
      </text>
    </comment>
    <comment ref="E75" authorId="0">
      <text>
        <r>
          <rPr>
            <sz val="8"/>
            <rFont val="Tahoma"/>
            <family val="2"/>
          </rPr>
          <t>Feks. udlejningsejendom.</t>
        </r>
      </text>
    </comment>
    <comment ref="E76" authorId="0">
      <text>
        <r>
          <rPr>
            <sz val="8"/>
            <rFont val="Tahoma"/>
            <family val="2"/>
          </rPr>
          <t>Feks. maskinstationsarbejde.</t>
        </r>
      </text>
    </comment>
    <comment ref="E77" authorId="0">
      <text>
        <r>
          <rPr>
            <sz val="8"/>
            <rFont val="Tahoma"/>
            <family val="2"/>
          </rPr>
          <t>Rentetilskud YJ lån samt diverse investeringstilskud.</t>
        </r>
      </text>
    </comment>
    <comment ref="X37" authorId="1">
      <text>
        <r>
          <rPr>
            <sz val="8"/>
            <rFont val="Tahoma"/>
            <family val="2"/>
          </rPr>
          <t xml:space="preserve">Der må kun være  X i en af felterne.
</t>
        </r>
      </text>
    </comment>
    <comment ref="AC37" authorId="1">
      <text>
        <r>
          <rPr>
            <sz val="8"/>
            <rFont val="Tahoma"/>
            <family val="2"/>
          </rPr>
          <t xml:space="preserve">Der må kun være  X i en af felterne.
</t>
        </r>
      </text>
    </comment>
    <comment ref="AR37" authorId="1">
      <text>
        <r>
          <rPr>
            <sz val="8"/>
            <rFont val="Tahoma"/>
            <family val="2"/>
          </rPr>
          <t xml:space="preserve">Der må kun være  X i en af felterne.
</t>
        </r>
      </text>
    </comment>
    <comment ref="AW37" authorId="1">
      <text>
        <r>
          <rPr>
            <sz val="8"/>
            <rFont val="Tahoma"/>
            <family val="2"/>
          </rPr>
          <t xml:space="preserve">Der må kun være  X i en af felterne.
</t>
        </r>
      </text>
    </comment>
    <comment ref="N37" authorId="1">
      <text>
        <r>
          <rPr>
            <sz val="8"/>
            <rFont val="Tahoma"/>
            <family val="2"/>
          </rPr>
          <t xml:space="preserve">Der må kun være  X i en af felterne.
</t>
        </r>
      </text>
    </comment>
    <comment ref="S37" authorId="1">
      <text>
        <r>
          <rPr>
            <sz val="8"/>
            <rFont val="Tahoma"/>
            <family val="2"/>
          </rPr>
          <t xml:space="preserve">Der må kun være  X i en af felterne.
</t>
        </r>
      </text>
    </comment>
    <comment ref="N61" authorId="1">
      <text>
        <r>
          <rPr>
            <sz val="8"/>
            <rFont val="Tahoma"/>
            <family val="2"/>
          </rPr>
          <t xml:space="preserve">Der må kun være  X i en af felterne.
</t>
        </r>
      </text>
    </comment>
    <comment ref="S61" authorId="1">
      <text>
        <r>
          <rPr>
            <sz val="8"/>
            <rFont val="Tahoma"/>
            <family val="2"/>
          </rPr>
          <t xml:space="preserve">Der må kun være  X i en af felterne.
</t>
        </r>
      </text>
    </comment>
    <comment ref="E154" authorId="0">
      <text>
        <r>
          <rPr>
            <sz val="8"/>
            <rFont val="Tahoma"/>
            <family val="2"/>
          </rPr>
          <t>Salg af jord
.</t>
        </r>
      </text>
    </comment>
    <comment ref="E25" authorId="4">
      <text>
        <r>
          <rPr>
            <sz val="9"/>
            <rFont val="Tahoma"/>
            <family val="2"/>
          </rPr>
          <t xml:space="preserve">Købet bliver tillagt
besætningsværdien
</t>
        </r>
      </text>
    </comment>
  </commentList>
</comments>
</file>

<file path=xl/comments4.xml><?xml version="1.0" encoding="utf-8"?>
<comments xmlns="http://schemas.openxmlformats.org/spreadsheetml/2006/main">
  <authors>
    <author>Kresten</author>
  </authors>
  <commentList>
    <comment ref="E3" authorId="0">
      <text>
        <r>
          <rPr>
            <b/>
            <sz val="9"/>
            <rFont val="Tahoma"/>
            <family val="2"/>
          </rPr>
          <t xml:space="preserve">Skriv 0 eller antal ha.
</t>
        </r>
      </text>
    </comment>
  </commentList>
</comments>
</file>

<file path=xl/comments9.xml><?xml version="1.0" encoding="utf-8"?>
<comments xmlns="http://schemas.openxmlformats.org/spreadsheetml/2006/main">
  <authors>
    <author>kresten</author>
  </authors>
  <commentList>
    <comment ref="C6" authorId="0">
      <text>
        <r>
          <rPr>
            <b/>
            <sz val="8"/>
            <rFont val="Tahoma"/>
            <family val="2"/>
          </rPr>
          <t>Notering før efterbetaling.</t>
        </r>
      </text>
    </comment>
  </commentList>
</comments>
</file>

<file path=xl/sharedStrings.xml><?xml version="1.0" encoding="utf-8"?>
<sst xmlns="http://schemas.openxmlformats.org/spreadsheetml/2006/main" count="872" uniqueCount="427">
  <si>
    <t>Bedriftsstyring</t>
  </si>
  <si>
    <t xml:space="preserve">Du kan herefter ændre salgspriser for besætningen, foderpriser eller investeringer </t>
  </si>
  <si>
    <t>og straks se, hvorledes nettoresultatet og likviditeten påvirkes.</t>
  </si>
  <si>
    <t xml:space="preserve">Hele 1.000 </t>
  </si>
  <si>
    <t>Produktionsomfang</t>
  </si>
  <si>
    <t>Budget</t>
  </si>
  <si>
    <t>Dækningsbidrag</t>
  </si>
  <si>
    <t>Dækningsbidrag i alt</t>
  </si>
  <si>
    <t>Lønomkostninger</t>
  </si>
  <si>
    <t>Variable omkostninger</t>
  </si>
  <si>
    <t>Brændstof</t>
  </si>
  <si>
    <t>El</t>
  </si>
  <si>
    <t>Vand</t>
  </si>
  <si>
    <t>(-)</t>
  </si>
  <si>
    <t>Vedligeholdelse driftsmidler</t>
  </si>
  <si>
    <t>Maskinstation</t>
  </si>
  <si>
    <t>I alt</t>
  </si>
  <si>
    <t>Kapacitetsomkostninger</t>
  </si>
  <si>
    <t>Autodrift</t>
  </si>
  <si>
    <t>Vedligeholdelse, bygninger</t>
  </si>
  <si>
    <t>Andre kap. omkostninger</t>
  </si>
  <si>
    <t>Afskrivninger</t>
  </si>
  <si>
    <t>Bygninger og installationer</t>
  </si>
  <si>
    <t>Driftsmidler</t>
  </si>
  <si>
    <t>Afskrivninger på nye invest.</t>
  </si>
  <si>
    <t>Afskrivninger i alt</t>
  </si>
  <si>
    <t>Indtægter/udgifter u/moms</t>
  </si>
  <si>
    <t>Indtægter/udgifter m/moms</t>
  </si>
  <si>
    <t>Rentetilskud m.v.</t>
  </si>
  <si>
    <t>Andet</t>
  </si>
  <si>
    <t>Finansiering</t>
  </si>
  <si>
    <t>Renteindtægter</t>
  </si>
  <si>
    <t>Renteudgifter realkredit</t>
  </si>
  <si>
    <t>Renteudgifter banklån m.v.</t>
  </si>
  <si>
    <t>Låneomkostninger</t>
  </si>
  <si>
    <t>Renteudgift af nye invest.</t>
  </si>
  <si>
    <t>Finansiering netto</t>
  </si>
  <si>
    <t>Indehaver</t>
  </si>
  <si>
    <t>Lønindtægter m.v.</t>
  </si>
  <si>
    <t>Bet. ratepension m.v.</t>
  </si>
  <si>
    <t>Bet. kapitalpension</t>
  </si>
  <si>
    <t>Andre kapitalindtægter</t>
  </si>
  <si>
    <t>Renteudgifter</t>
  </si>
  <si>
    <t>Faglige kontingenter m.v.</t>
  </si>
  <si>
    <t>Nettoresultat</t>
  </si>
  <si>
    <t>Ægtefælle</t>
  </si>
  <si>
    <t>Andre kapitalindkomster</t>
  </si>
  <si>
    <t>Formueindtægter</t>
  </si>
  <si>
    <t>Privatforbrug</t>
  </si>
  <si>
    <t>Andre udgifter</t>
  </si>
  <si>
    <t>Privatforbrug i alt</t>
  </si>
  <si>
    <t>Skatter</t>
  </si>
  <si>
    <t>Udskudte skatter</t>
  </si>
  <si>
    <t>Skatter i alt</t>
  </si>
  <si>
    <t>Investeringer</t>
  </si>
  <si>
    <t>Køb md.</t>
  </si>
  <si>
    <t>Levetid år</t>
  </si>
  <si>
    <t>Afskr .i år</t>
  </si>
  <si>
    <t>Rente i år</t>
  </si>
  <si>
    <t>x</t>
  </si>
  <si>
    <t>Andre likviditetsændringer</t>
  </si>
  <si>
    <t>Tilgang</t>
  </si>
  <si>
    <t>Afgang</t>
  </si>
  <si>
    <t>Ændring finansielle aktiver</t>
  </si>
  <si>
    <t>Ændring i besætning</t>
  </si>
  <si>
    <t>Ændring i private aktiver</t>
  </si>
  <si>
    <t>Ændring i langfristet gæld</t>
  </si>
  <si>
    <t>Ændring i privat gæld</t>
  </si>
  <si>
    <t>Skatteberegning</t>
  </si>
  <si>
    <t>Skattepligtig indkomst</t>
  </si>
  <si>
    <t>Personfradrag</t>
  </si>
  <si>
    <t>Beløb hvoraf % skal beregnes</t>
  </si>
  <si>
    <t>Skatteprocent anslået</t>
  </si>
  <si>
    <t>Beregnet skat</t>
  </si>
  <si>
    <t>Mark</t>
  </si>
  <si>
    <t>mar</t>
  </si>
  <si>
    <t>apr</t>
  </si>
  <si>
    <t>maj</t>
  </si>
  <si>
    <t>jun</t>
  </si>
  <si>
    <t>jul</t>
  </si>
  <si>
    <t>aug</t>
  </si>
  <si>
    <t>sep</t>
  </si>
  <si>
    <t>okt</t>
  </si>
  <si>
    <t>nov</t>
  </si>
  <si>
    <t>dec</t>
  </si>
  <si>
    <t xml:space="preserve"> </t>
  </si>
  <si>
    <t>Andre variable omkostninger</t>
  </si>
  <si>
    <t>Hensættelser</t>
  </si>
  <si>
    <t>Langfristet gæld</t>
  </si>
  <si>
    <t>Tilgodehavender</t>
  </si>
  <si>
    <t>Likvide beholdninger</t>
  </si>
  <si>
    <t>Aktiver i alt</t>
  </si>
  <si>
    <t>Passiver i alt</t>
  </si>
  <si>
    <t>Rente</t>
  </si>
  <si>
    <t>Renter</t>
  </si>
  <si>
    <t>Afdrag</t>
  </si>
  <si>
    <t>EU tilskud</t>
  </si>
  <si>
    <t>Indtægter i alt</t>
  </si>
  <si>
    <t>Udgifter i alt</t>
  </si>
  <si>
    <t>Dækningsbidrag I</t>
  </si>
  <si>
    <t>Dækningsbidrag II</t>
  </si>
  <si>
    <t>Driftsmidler og inventar</t>
  </si>
  <si>
    <t>Renter, netto</t>
  </si>
  <si>
    <t>Nettoresultat virksomhed</t>
  </si>
  <si>
    <t>Nettoresultat, ægtefælle privat</t>
  </si>
  <si>
    <t>Samlet resultat</t>
  </si>
  <si>
    <t>Samlet indkomst</t>
  </si>
  <si>
    <t xml:space="preserve">Privatforbrug </t>
  </si>
  <si>
    <t xml:space="preserve">Skatter </t>
  </si>
  <si>
    <t>Konsolidering</t>
  </si>
  <si>
    <t>Balance</t>
  </si>
  <si>
    <t>Finansielle anlægsaktiver</t>
  </si>
  <si>
    <t>Debitorer</t>
  </si>
  <si>
    <t>Private aktiver</t>
  </si>
  <si>
    <t>Kortfristet gæld</t>
  </si>
  <si>
    <t>Privat gæld</t>
  </si>
  <si>
    <t>Antal</t>
  </si>
  <si>
    <t>Pris</t>
  </si>
  <si>
    <t>Kr.pr.ha.</t>
  </si>
  <si>
    <t>Ha.</t>
  </si>
  <si>
    <t>DB i alt</t>
  </si>
  <si>
    <t>Kr. i alt</t>
  </si>
  <si>
    <t>Kerne, pris 4. kvartal</t>
  </si>
  <si>
    <t>Halm</t>
  </si>
  <si>
    <t>Udbytte i alt</t>
  </si>
  <si>
    <t>Udsæd</t>
  </si>
  <si>
    <t>Juletræer</t>
  </si>
  <si>
    <t>DB mark i alt</t>
  </si>
  <si>
    <t>Andel i %</t>
  </si>
  <si>
    <t>Råvarepris</t>
  </si>
  <si>
    <t>Blandepris</t>
  </si>
  <si>
    <t>Soya</t>
  </si>
  <si>
    <t>FE i blandingen</t>
  </si>
  <si>
    <t>Pris pr. FE</t>
  </si>
  <si>
    <t>Specifikationer</t>
  </si>
  <si>
    <t>Egenkapital virksomhed</t>
  </si>
  <si>
    <t>Egenkapital privat</t>
  </si>
  <si>
    <t>Egenkapital, privat</t>
  </si>
  <si>
    <t>Egenkapital, virksomhed</t>
  </si>
  <si>
    <t>Nettoresultat, indehaver privat</t>
  </si>
  <si>
    <t>Efterbetaling</t>
  </si>
  <si>
    <t>Beregning af pris pr. FE</t>
  </si>
  <si>
    <t>Budgetteret notering 1. kvartal</t>
  </si>
  <si>
    <t>Budgetteret notering 2. kvartal</t>
  </si>
  <si>
    <t>Budgetteret notering 3. kvartal</t>
  </si>
  <si>
    <t>Budgetteret notering 4. kvartal</t>
  </si>
  <si>
    <t>Gennemsnitspris</t>
  </si>
  <si>
    <t>Byg</t>
  </si>
  <si>
    <t>Hvede</t>
  </si>
  <si>
    <t>Fedt</t>
  </si>
  <si>
    <t>Mineraler</t>
  </si>
  <si>
    <t>Følsomhedsanalyse</t>
  </si>
  <si>
    <t>Gødning</t>
  </si>
  <si>
    <t>Kemikalier</t>
  </si>
  <si>
    <t xml:space="preserve">Gødning </t>
  </si>
  <si>
    <t>Grønt</t>
  </si>
  <si>
    <t>Træer</t>
  </si>
  <si>
    <t>Kr.</t>
  </si>
  <si>
    <t>Ydelser på lån</t>
  </si>
  <si>
    <t>Privatforb.</t>
  </si>
  <si>
    <t>Renter pr, termin</t>
  </si>
  <si>
    <t>Hovedstol</t>
  </si>
  <si>
    <t>Termin</t>
  </si>
  <si>
    <t>Ydelse</t>
  </si>
  <si>
    <t>Notering</t>
  </si>
  <si>
    <t>Smågrise</t>
  </si>
  <si>
    <t>i alt</t>
  </si>
  <si>
    <t>Ændring likvide</t>
  </si>
  <si>
    <t>Restgæld</t>
  </si>
  <si>
    <t>% pr.term.</t>
  </si>
  <si>
    <t>1,4,7,10</t>
  </si>
  <si>
    <t>3,6,9,12</t>
  </si>
  <si>
    <t>12 md.</t>
  </si>
  <si>
    <t>Besætning</t>
  </si>
  <si>
    <t>Lejede lokaler</t>
  </si>
  <si>
    <t>Maskiner og inventar</t>
  </si>
  <si>
    <t>Ikke ford.</t>
  </si>
  <si>
    <t>gæld.</t>
  </si>
  <si>
    <t xml:space="preserve">        Side</t>
  </si>
  <si>
    <t>Side</t>
  </si>
  <si>
    <t>feb</t>
  </si>
  <si>
    <t>Banklån 1</t>
  </si>
  <si>
    <t xml:space="preserve">       Side</t>
  </si>
  <si>
    <t xml:space="preserve">Budgetteret dækningsbidrag </t>
  </si>
  <si>
    <t>Unikredit 6%</t>
  </si>
  <si>
    <t>DLR 8,7%</t>
  </si>
  <si>
    <t>Unikredit 7%</t>
  </si>
  <si>
    <t>Resultat før finansiering</t>
  </si>
  <si>
    <t>Lån</t>
  </si>
  <si>
    <t>Budgetteret dækningsbidrag</t>
  </si>
  <si>
    <r>
      <t xml:space="preserve">Nødvendig dækningsbidrag for at opnå </t>
    </r>
    <r>
      <rPr>
        <b/>
        <sz val="10"/>
        <rFont val="Arial"/>
        <family val="2"/>
      </rPr>
      <t xml:space="preserve">nulpunkt </t>
    </r>
    <r>
      <rPr>
        <sz val="10"/>
        <rFont val="Arial"/>
        <family val="2"/>
      </rPr>
      <t>(alle øvrige tal uændrede)</t>
    </r>
  </si>
  <si>
    <r>
      <t xml:space="preserve">Nødvendig dækningsbidrag for at opnå </t>
    </r>
    <r>
      <rPr>
        <b/>
        <sz val="10"/>
        <rFont val="Arial"/>
        <family val="2"/>
      </rPr>
      <t xml:space="preserve">nulpunkt </t>
    </r>
    <r>
      <rPr>
        <sz val="10"/>
        <rFont val="Arial"/>
        <family val="0"/>
      </rPr>
      <t>(alle øvrige tal uændrede)</t>
    </r>
  </si>
  <si>
    <t>Dækningsbidrag, mark</t>
  </si>
  <si>
    <t>ha</t>
  </si>
  <si>
    <t>Renteudgifter kreditorer+kk</t>
  </si>
  <si>
    <t>Betalte skatter</t>
  </si>
  <si>
    <t>Ny restg.</t>
  </si>
  <si>
    <t>Andre indtægter/udgifter</t>
  </si>
  <si>
    <t>Løbetid, terminer</t>
  </si>
  <si>
    <t>Beregnet ydelse</t>
  </si>
  <si>
    <t>År</t>
  </si>
  <si>
    <t>Diverse beregninger</t>
  </si>
  <si>
    <t>Beregning af gennemsnits pris for salg og køb af svin</t>
  </si>
  <si>
    <t>Banklån, virksomhed</t>
  </si>
  <si>
    <t>Privat lån udenfor virksomhed</t>
  </si>
  <si>
    <t>Hektar i drift</t>
  </si>
  <si>
    <t>Virksomhedslån, realkredit</t>
  </si>
  <si>
    <t>Lån 9</t>
  </si>
  <si>
    <t>&lt;</t>
  </si>
  <si>
    <t>top</t>
  </si>
  <si>
    <t>System hjælp</t>
  </si>
  <si>
    <t>Afskrivning private aktiver</t>
  </si>
  <si>
    <t>Kurs</t>
  </si>
  <si>
    <t>Ydelse omregnet fra euro til kr.</t>
  </si>
  <si>
    <t>Gl. restgæld</t>
  </si>
  <si>
    <t>Adm. bidrag beløb</t>
  </si>
  <si>
    <t>Beregning af rente % pr. termin</t>
  </si>
  <si>
    <t>Ydelse pr. termin</t>
  </si>
  <si>
    <t>Rente beløb pr. termin</t>
  </si>
  <si>
    <t>Beregnet restgæld kr.</t>
  </si>
  <si>
    <t>Beregnet ydelse kr.</t>
  </si>
  <si>
    <t>Restgæld euro</t>
  </si>
  <si>
    <t>Ydelse euro</t>
  </si>
  <si>
    <t>Top</t>
  </si>
  <si>
    <t>12 md</t>
  </si>
  <si>
    <t>Udgifter</t>
  </si>
  <si>
    <t>Maskinstation eller andet</t>
  </si>
  <si>
    <t>Dækningsbidrag, diverse</t>
  </si>
  <si>
    <t>Ændring i tilgodehavender</t>
  </si>
  <si>
    <t>Beholdninger</t>
  </si>
  <si>
    <t xml:space="preserve">Hvede </t>
  </si>
  <si>
    <r>
      <t xml:space="preserve">Røde tekster </t>
    </r>
    <r>
      <rPr>
        <b/>
        <sz val="10"/>
        <rFont val="Arial"/>
        <family val="2"/>
      </rPr>
      <t>kan ændre med virkning til de aktuelle ark.</t>
    </r>
  </si>
  <si>
    <t xml:space="preserve">Rente </t>
  </si>
  <si>
    <t>Tilbageført afskrivninger</t>
  </si>
  <si>
    <t>Ejendomsskat</t>
  </si>
  <si>
    <t>Forsikringer</t>
  </si>
  <si>
    <t xml:space="preserve"> 2  Kapacitetsomkostninger</t>
  </si>
  <si>
    <t>Kortfristet gæld ved beg.</t>
  </si>
  <si>
    <t>Investeringer:</t>
  </si>
  <si>
    <t>Finansielle aktiver</t>
  </si>
  <si>
    <t>Afdrag langfristet gæld virk.</t>
  </si>
  <si>
    <t>Afdrag privat gæld</t>
  </si>
  <si>
    <t>Betalt skat</t>
  </si>
  <si>
    <t>Kortfristet gæld ved slutn.</t>
  </si>
  <si>
    <r>
      <t xml:space="preserve">Nødvendig </t>
    </r>
    <r>
      <rPr>
        <b/>
        <sz val="10"/>
        <rFont val="Arial"/>
        <family val="2"/>
      </rPr>
      <t>likviditetsmæssig</t>
    </r>
    <r>
      <rPr>
        <sz val="10"/>
        <rFont val="Arial"/>
        <family val="2"/>
      </rPr>
      <t xml:space="preserve"> DB for at betale forfaldne afdrag.</t>
    </r>
  </si>
  <si>
    <t>Fastejendom</t>
  </si>
  <si>
    <t>Betalingsrettigheder</t>
  </si>
  <si>
    <t>Årets investeringer</t>
  </si>
  <si>
    <t>Jord</t>
  </si>
  <si>
    <t>Bygninger</t>
  </si>
  <si>
    <t>Rente %</t>
  </si>
  <si>
    <t>Staldinventar</t>
  </si>
  <si>
    <t>Maskiner m.v.</t>
  </si>
  <si>
    <t>Afskr.</t>
  </si>
  <si>
    <t>Grå felter er historiske tal</t>
  </si>
  <si>
    <t>Alle gule felte skal udfyldes for at få et årsbudget</t>
  </si>
  <si>
    <t>Udfyld først F137 til F 153</t>
  </si>
  <si>
    <t xml:space="preserve">Programmet er udlånt af Agrogruppen Danmark.  </t>
  </si>
  <si>
    <t>www.agrogruppen.dk</t>
  </si>
  <si>
    <t>udvikling</t>
  </si>
  <si>
    <r>
      <t xml:space="preserve">I produktionsarkene er det kun </t>
    </r>
    <r>
      <rPr>
        <b/>
        <sz val="10"/>
        <color indexed="10"/>
        <rFont val="Arial"/>
        <family val="2"/>
      </rPr>
      <t>røde</t>
    </r>
    <r>
      <rPr>
        <b/>
        <sz val="10"/>
        <rFont val="Arial"/>
        <family val="2"/>
      </rPr>
      <t xml:space="preserve"> tal der kan ændres.</t>
    </r>
  </si>
  <si>
    <r>
      <t>Udfyld alle gule/</t>
    </r>
    <r>
      <rPr>
        <b/>
        <sz val="10"/>
        <rFont val="Arial"/>
        <family val="2"/>
      </rPr>
      <t xml:space="preserve">grå felter og tilret produktionsarkene og se resultatet i arket </t>
    </r>
  </si>
  <si>
    <t>jan</t>
  </si>
  <si>
    <t>Ændring lejede lokaler</t>
  </si>
  <si>
    <t xml:space="preserve">Jord </t>
  </si>
  <si>
    <t>Investeringer i alt</t>
  </si>
  <si>
    <t xml:space="preserve">Rente kassekredit %           </t>
  </si>
  <si>
    <t>Beregning af købspris for smågrise</t>
  </si>
  <si>
    <t>Leje af driftsbygninger</t>
  </si>
  <si>
    <t>Revisor</t>
  </si>
  <si>
    <t>Småanskaffelser</t>
  </si>
  <si>
    <t>Fri tekst</t>
  </si>
  <si>
    <t>Gældsprocent</t>
  </si>
  <si>
    <t>Resultatbudget (hele 1.000)</t>
  </si>
  <si>
    <t>Ændringer i aktiver</t>
  </si>
  <si>
    <t>Ændringer i gæld</t>
  </si>
  <si>
    <t>Privatforbrug og skat</t>
  </si>
  <si>
    <t xml:space="preserve">  </t>
  </si>
  <si>
    <t xml:space="preserve">Forpagtning </t>
  </si>
  <si>
    <t>Ændring beholdning</t>
  </si>
  <si>
    <t>renter</t>
  </si>
  <si>
    <t xml:space="preserve">Pengestrømsanalyse </t>
  </si>
  <si>
    <t>Indtægter</t>
  </si>
  <si>
    <t>Copyright © 2007</t>
  </si>
  <si>
    <t>DLR 10%</t>
  </si>
  <si>
    <t>Restskatter</t>
  </si>
  <si>
    <t>Leje stald</t>
  </si>
  <si>
    <t>Leasing</t>
  </si>
  <si>
    <t>Vårbyg</t>
  </si>
  <si>
    <t>Vinterbyg</t>
  </si>
  <si>
    <t>Kerne,pris 4.kvartal</t>
  </si>
  <si>
    <t>Nordea Kredit 4%</t>
  </si>
  <si>
    <t>Nordea</t>
  </si>
  <si>
    <t>?</t>
  </si>
  <si>
    <t>beregningerne.</t>
  </si>
  <si>
    <t xml:space="preserve">eller beregningsfejl samt konsekvenser af beslutninger, der er foretaget på grundlag af </t>
  </si>
  <si>
    <t>Ændring ved 1 kr.</t>
  </si>
  <si>
    <t>Nødvendig ændring DB</t>
  </si>
  <si>
    <t>Nødvendig notering for nulpunkt</t>
  </si>
  <si>
    <t>Nødvendig ændring ved likviditet</t>
  </si>
  <si>
    <t>Budgetkontrol</t>
  </si>
  <si>
    <t>Indtast hvor der er røde tal.</t>
  </si>
  <si>
    <t>Mængde og prisafvigelser er kun anvendelig på årsbasis.</t>
  </si>
  <si>
    <t>Nordea Kredit 5%</t>
  </si>
  <si>
    <t>Nordea Kredit 4% stående F1</t>
  </si>
  <si>
    <t>Nordea valutalån</t>
  </si>
  <si>
    <t>Nordea Kredit euro</t>
  </si>
  <si>
    <t>Rug</t>
  </si>
  <si>
    <t>Havre</t>
  </si>
  <si>
    <t>Kerne</t>
  </si>
  <si>
    <t>Varekøb Div til værksted</t>
  </si>
  <si>
    <t xml:space="preserve">Hele kr. </t>
  </si>
  <si>
    <t>Fragt og tørring</t>
  </si>
  <si>
    <t xml:space="preserve">Agrogruppen  er uden ansvar for fejl, der skulle opstå som systemfejl </t>
  </si>
  <si>
    <t>Ved lånene er det hele kroner der skal indtastes.</t>
  </si>
  <si>
    <t>Beløbene skal være fratrukket energiafgifter.</t>
  </si>
  <si>
    <t>Ændring i fast ejendom, jord</t>
  </si>
  <si>
    <t>Ændring i fast ejendom, bygn.</t>
  </si>
  <si>
    <t>Ændring staldinventar</t>
  </si>
  <si>
    <t>Ændring betalingsrettigheder</t>
  </si>
  <si>
    <t>Ændring inventar</t>
  </si>
  <si>
    <t>Fedt%</t>
  </si>
  <si>
    <t>Udbytte</t>
  </si>
  <si>
    <t>Kg.</t>
  </si>
  <si>
    <t>Stykomkostninger</t>
  </si>
  <si>
    <t>FE</t>
  </si>
  <si>
    <t>Korn</t>
  </si>
  <si>
    <t>Stykomkostninger i alt</t>
  </si>
  <si>
    <t>Dækningsbidrag pr. årsko</t>
  </si>
  <si>
    <t>Dækningsbidrag pr. kg. EKM.</t>
  </si>
  <si>
    <t xml:space="preserve">Dækningsbidrag i alt </t>
  </si>
  <si>
    <t>Stk.</t>
  </si>
  <si>
    <t xml:space="preserve">Døde og kasserede </t>
  </si>
  <si>
    <t>Spædekalve</t>
  </si>
  <si>
    <t>Kalvestarter</t>
  </si>
  <si>
    <t>Sødmælk</t>
  </si>
  <si>
    <t>Miniralblanding</t>
  </si>
  <si>
    <t>Dyrlæge E-kontrol. m.m.</t>
  </si>
  <si>
    <t>Dækningsbidrag pr. stk.</t>
  </si>
  <si>
    <t>stk.</t>
  </si>
  <si>
    <t>4,8 kg. pr. kg. tilvækst</t>
  </si>
  <si>
    <t>1.143 gr. daglig tilvækst</t>
  </si>
  <si>
    <t>Ungtyr sl. vægt</t>
  </si>
  <si>
    <t>Kalveblanding</t>
  </si>
  <si>
    <t>Dækningsbidrag tyre i alt</t>
  </si>
  <si>
    <t>Dækningsbidrag, malkekvæg</t>
  </si>
  <si>
    <t>123 til 128 skal ikke udfyldes til 12 måneds budget</t>
  </si>
  <si>
    <t>Mælk i alt</t>
  </si>
  <si>
    <t>Dækningsbidrag, kvæg</t>
  </si>
  <si>
    <t>Fedekvæg</t>
  </si>
  <si>
    <t>Tekst</t>
  </si>
  <si>
    <t>Afskrivn. låneomkostninger</t>
  </si>
  <si>
    <t>Kvæg</t>
  </si>
  <si>
    <t>Protein</t>
  </si>
  <si>
    <t>Råvareværdi</t>
  </si>
  <si>
    <t>Kvalitetstillæg</t>
  </si>
  <si>
    <t>Sæsontillæg</t>
  </si>
  <si>
    <t>Salg køer til slagtning</t>
  </si>
  <si>
    <t>Salg kvier til slagtning</t>
  </si>
  <si>
    <t>Overført sødmælk til kalve</t>
  </si>
  <si>
    <t>Besætningsforskydelse</t>
  </si>
  <si>
    <t>Bruttoudbytte i alt</t>
  </si>
  <si>
    <t>Kvantum</t>
  </si>
  <si>
    <t>Enh.</t>
  </si>
  <si>
    <t>Sojaskrå</t>
  </si>
  <si>
    <t>Rapskager</t>
  </si>
  <si>
    <t>Korn indkøbt</t>
  </si>
  <si>
    <t>Småkalvefoder</t>
  </si>
  <si>
    <t>Sødmælk til kalve</t>
  </si>
  <si>
    <t>Mineralfoderblandinger køer</t>
  </si>
  <si>
    <t>Miniralblanding kvier</t>
  </si>
  <si>
    <t>Silomajs</t>
  </si>
  <si>
    <t>Afgræsning</t>
  </si>
  <si>
    <t>Græsensilage</t>
  </si>
  <si>
    <t>Fe.</t>
  </si>
  <si>
    <t>Foderomkostninger i alt</t>
  </si>
  <si>
    <t>Daka dyr 12-48 md</t>
  </si>
  <si>
    <t>Dyrlæge</t>
  </si>
  <si>
    <t>Medicin</t>
  </si>
  <si>
    <t>Vaccine</t>
  </si>
  <si>
    <t>Avlsomkostninger</t>
  </si>
  <si>
    <t>RYK omkostninger</t>
  </si>
  <si>
    <t>Produktionsrådgivning</t>
  </si>
  <si>
    <t>Klovbeskæring</t>
  </si>
  <si>
    <t>Halm strøelse</t>
  </si>
  <si>
    <t>Diverse omkostninger</t>
  </si>
  <si>
    <t>Øvrige omkostninger i alt</t>
  </si>
  <si>
    <t>Stk. omkostninger i alt</t>
  </si>
  <si>
    <t>Malkekøer med opdræt</t>
  </si>
  <si>
    <t>Kraftfoder, lav pct.</t>
  </si>
  <si>
    <t xml:space="preserve">Årskøer incl. opdræt               </t>
  </si>
  <si>
    <t>Køb fedekvæg                stk.</t>
  </si>
  <si>
    <t>Indtast egne tal</t>
  </si>
  <si>
    <t>Dækningsbidrag, fedekvæg</t>
  </si>
  <si>
    <t>Salg tyrekalve tll levebrug</t>
  </si>
  <si>
    <t>Køb køer               stk./pris</t>
  </si>
  <si>
    <t>Køb opdræt           stk/pris</t>
  </si>
  <si>
    <t>EU tilskud mark og kvæg</t>
  </si>
  <si>
    <t>Mælk kr.</t>
  </si>
  <si>
    <t>Nuværende notering</t>
  </si>
  <si>
    <t>Pris i alt uden efterbetaling</t>
  </si>
  <si>
    <r>
      <t xml:space="preserve">Nødvendig råvareværdi pr kg. for at opnå </t>
    </r>
    <r>
      <rPr>
        <b/>
        <sz val="10"/>
        <rFont val="Arial"/>
        <family val="2"/>
      </rPr>
      <t>nulpunkt</t>
    </r>
  </si>
  <si>
    <t>DLR</t>
  </si>
  <si>
    <t xml:space="preserve">Budgettet er beregnet til at den kan anvendes af landmanden alene og eller i fællesskab </t>
  </si>
  <si>
    <t>med revisor.</t>
  </si>
  <si>
    <t>Hvis du er kunde hos en af agrogruppens medlemmer, kan du få et udviddet program gratis</t>
  </si>
  <si>
    <t>samt udføre budgetkontrol pr. kvartal.</t>
  </si>
  <si>
    <t xml:space="preserve">Her kan du finde Agrogruppens medlemmer: </t>
  </si>
  <si>
    <t>Beregning af renter på kortfristet gæld</t>
  </si>
  <si>
    <t>Kortfristet gæld primo</t>
  </si>
  <si>
    <t>Kortfristet gæld ultimo</t>
  </si>
  <si>
    <t>Gennemsnit</t>
  </si>
  <si>
    <t>Skriv tallet fra E150</t>
  </si>
  <si>
    <t>Renteudgift kortfristetgæld</t>
  </si>
  <si>
    <t>&gt; Ret E154 indtil der stå "0" i F154</t>
  </si>
  <si>
    <t>Tallene er vejledenne de anbefales at udarbejde kalkulationen i samarbejde</t>
  </si>
  <si>
    <t>med en af kvægavlskonsulenterne.</t>
  </si>
  <si>
    <t>Hvis der er ønske om særllg tilpasning til egen bedrift kontakt:</t>
  </si>
  <si>
    <t>info@danmarkdirekte.dk</t>
  </si>
  <si>
    <t>Kresten Søgaard</t>
  </si>
  <si>
    <t>Telefon: 2247 6439</t>
  </si>
  <si>
    <t xml:space="preserve">således at du i fællesskab med revisor kan budgettere på månedsbasis </t>
  </si>
  <si>
    <t>Strategi og handlingsplan</t>
  </si>
  <si>
    <t>Hvad er strategien for de kommende 3 til 5 år</t>
  </si>
  <si>
    <t>Hvilke tiltagag, muligheder og løsninger er der for driften i den aktuelle situation</t>
  </si>
  <si>
    <t>Hvilken investeringsbehov er der for de enkelte løsninger</t>
  </si>
  <si>
    <t>Hvilken planer har familien på lang sigt</t>
  </si>
</sst>
</file>

<file path=xl/styles.xml><?xml version="1.0" encoding="utf-8"?>
<styleSheet xmlns="http://schemas.openxmlformats.org/spreadsheetml/2006/main">
  <numFmts count="3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00"/>
    <numFmt numFmtId="174" formatCode="_(* #,##0_);_(* \(#,##0\);_(* &quot;-&quot;??_);_(@_)"/>
    <numFmt numFmtId="175" formatCode="#,##0.0"/>
    <numFmt numFmtId="176" formatCode="#,##0.0000"/>
    <numFmt numFmtId="177" formatCode="#,##0.00000"/>
    <numFmt numFmtId="178" formatCode="#,##0.000"/>
    <numFmt numFmtId="179" formatCode="_(* #,##0.0_);_(* \(#,##0.0\);_(* &quot;-&quot;?_);_(@_)"/>
    <numFmt numFmtId="180" formatCode="0.0%"/>
    <numFmt numFmtId="181" formatCode="_([$€-2]\ * #,##0.00_);_([$€-2]\ * \(#,##0.00\);_([$€-2]\ * &quot;-&quot;??_)"/>
    <numFmt numFmtId="182" formatCode="0.000%"/>
    <numFmt numFmtId="183" formatCode="#.##0"/>
    <numFmt numFmtId="184" formatCode="0.000000"/>
    <numFmt numFmtId="185" formatCode="0.00000"/>
    <numFmt numFmtId="186" formatCode="&quot;Ja&quot;;&quot;Ja&quot;;&quot;Nej&quot;"/>
    <numFmt numFmtId="187" formatCode="&quot;Sand&quot;;&quot;Sand&quot;;&quot;Falsk&quot;"/>
    <numFmt numFmtId="188" formatCode="&quot;Til&quot;;&quot;Til&quot;;&quot;Fra&quot;"/>
    <numFmt numFmtId="189" formatCode="[$€-2]\ #.##000_);[Red]\([$€-2]\ #.##000\)"/>
  </numFmts>
  <fonts count="71">
    <font>
      <sz val="10"/>
      <name val="Arial"/>
      <family val="0"/>
    </font>
    <font>
      <sz val="11"/>
      <color indexed="8"/>
      <name val="Calibri"/>
      <family val="2"/>
    </font>
    <font>
      <b/>
      <sz val="10"/>
      <name val="Arial"/>
      <family val="2"/>
    </font>
    <font>
      <b/>
      <sz val="12"/>
      <name val="Arial"/>
      <family val="2"/>
    </font>
    <font>
      <sz val="10"/>
      <color indexed="10"/>
      <name val="Arial"/>
      <family val="2"/>
    </font>
    <font>
      <b/>
      <sz val="10"/>
      <color indexed="10"/>
      <name val="Arial"/>
      <family val="2"/>
    </font>
    <font>
      <sz val="8"/>
      <name val="Tahoma"/>
      <family val="2"/>
    </font>
    <font>
      <b/>
      <sz val="18"/>
      <name val="Arial"/>
      <family val="2"/>
    </font>
    <font>
      <sz val="18"/>
      <name val="Arial"/>
      <family val="2"/>
    </font>
    <font>
      <u val="single"/>
      <sz val="10"/>
      <color indexed="12"/>
      <name val="Arial"/>
      <family val="2"/>
    </font>
    <font>
      <b/>
      <sz val="8"/>
      <name val="Tahoma"/>
      <family val="2"/>
    </font>
    <font>
      <sz val="10"/>
      <color indexed="9"/>
      <name val="Arial"/>
      <family val="2"/>
    </font>
    <font>
      <b/>
      <sz val="10"/>
      <color indexed="9"/>
      <name val="Arial"/>
      <family val="2"/>
    </font>
    <font>
      <sz val="8"/>
      <name val="Arial"/>
      <family val="2"/>
    </font>
    <font>
      <b/>
      <sz val="16"/>
      <name val="Arial"/>
      <family val="2"/>
    </font>
    <font>
      <b/>
      <sz val="12"/>
      <color indexed="56"/>
      <name val="Arial"/>
      <family val="2"/>
    </font>
    <font>
      <b/>
      <sz val="10"/>
      <color indexed="12"/>
      <name val="Arial"/>
      <family val="2"/>
    </font>
    <font>
      <sz val="10"/>
      <color indexed="42"/>
      <name val="Arial"/>
      <family val="2"/>
    </font>
    <font>
      <b/>
      <u val="single"/>
      <sz val="10"/>
      <color indexed="12"/>
      <name val="Arial"/>
      <family val="2"/>
    </font>
    <font>
      <sz val="10"/>
      <color indexed="43"/>
      <name val="Arial"/>
      <family val="2"/>
    </font>
    <font>
      <b/>
      <sz val="10"/>
      <color indexed="43"/>
      <name val="Arial"/>
      <family val="2"/>
    </font>
    <font>
      <b/>
      <sz val="7.5"/>
      <color indexed="23"/>
      <name val="Arial"/>
      <family val="2"/>
    </font>
    <font>
      <u val="single"/>
      <sz val="10"/>
      <color indexed="20"/>
      <name val="Arial"/>
      <family val="2"/>
    </font>
    <font>
      <sz val="9"/>
      <name val="Tahoma"/>
      <family val="2"/>
    </font>
    <font>
      <b/>
      <sz val="9"/>
      <name val="Tahoma"/>
      <family val="2"/>
    </font>
    <font>
      <sz val="11"/>
      <color indexed="9"/>
      <name val="Calibri"/>
      <family val="2"/>
    </font>
    <font>
      <sz val="11"/>
      <color indexed="10"/>
      <name val="Calibri"/>
      <family val="2"/>
    </font>
    <font>
      <b/>
      <sz val="11"/>
      <color indexed="10"/>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19"/>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sz val="11"/>
      <color indexed="20"/>
      <name val="Calibri"/>
      <family val="2"/>
    </font>
    <font>
      <sz val="10"/>
      <color indexed="44"/>
      <name val="Arial"/>
      <family val="2"/>
    </font>
    <font>
      <sz val="8"/>
      <color indexed="8"/>
      <name val="Arial"/>
      <family val="2"/>
    </font>
    <font>
      <b/>
      <sz val="10"/>
      <color indexed="8"/>
      <name val="Arial"/>
      <family val="2"/>
    </font>
    <font>
      <sz val="5.5"/>
      <color indexed="8"/>
      <name val="Arial"/>
      <family val="2"/>
    </font>
    <font>
      <b/>
      <sz val="8"/>
      <color indexed="8"/>
      <name val="Arial"/>
      <family val="2"/>
    </font>
    <font>
      <sz val="5.25"/>
      <color indexed="8"/>
      <name val="Arial"/>
      <family val="2"/>
    </font>
    <font>
      <b/>
      <sz val="8.5"/>
      <color indexed="8"/>
      <name val="Arial"/>
      <family val="2"/>
    </font>
    <font>
      <sz val="5.75"/>
      <color indexed="8"/>
      <name val="Arial"/>
      <family val="2"/>
    </font>
    <font>
      <b/>
      <sz val="9.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b/>
      <sz val="10"/>
      <color rgb="FFFF0000"/>
      <name val="Arial"/>
      <family val="2"/>
    </font>
    <font>
      <sz val="10"/>
      <color theme="0"/>
      <name val="Arial"/>
      <family val="2"/>
    </font>
    <font>
      <sz val="10"/>
      <color theme="3" tint="0.7999799847602844"/>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2"/>
        <bgColor indexed="64"/>
      </patternFill>
    </fill>
    <fill>
      <patternFill patternType="solid">
        <fgColor theme="0"/>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right style="thin"/>
      <top style="thin"/>
      <bottom style="thin"/>
    </border>
    <border>
      <left style="thin"/>
      <right style="thin"/>
      <top/>
      <bottom style="thin"/>
    </border>
    <border>
      <left style="thin"/>
      <right/>
      <top style="thin"/>
      <bottom style="thin"/>
    </border>
    <border>
      <left/>
      <right/>
      <top style="thin"/>
      <bottom style="thin"/>
    </border>
    <border>
      <left style="thin"/>
      <right/>
      <top style="thin"/>
      <bottom/>
    </border>
    <border>
      <left style="thin"/>
      <right style="thin"/>
      <top style="thin"/>
      <bottom/>
    </border>
    <border>
      <left style="thin"/>
      <right style="thin"/>
      <top/>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41" fontId="0"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52" fillId="21" borderId="2" applyNumberFormat="0" applyAlignment="0" applyProtection="0"/>
    <xf numFmtId="0" fontId="2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9" fillId="0" borderId="0" applyNumberFormat="0" applyFill="0" applyBorder="0" applyAlignment="0" applyProtection="0"/>
    <xf numFmtId="0" fontId="55" fillId="23" borderId="2" applyNumberFormat="0" applyAlignment="0" applyProtection="0"/>
    <xf numFmtId="0" fontId="56" fillId="24" borderId="3" applyNumberFormat="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7" fillId="31" borderId="0" applyNumberFormat="0" applyBorder="0" applyAlignment="0" applyProtection="0"/>
    <xf numFmtId="0" fontId="58" fillId="21"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2" borderId="0" applyNumberFormat="0" applyBorder="0" applyAlignment="0" applyProtection="0"/>
    <xf numFmtId="44" fontId="0" fillId="0" borderId="0" applyFont="0" applyFill="0" applyBorder="0" applyAlignment="0" applyProtection="0"/>
  </cellStyleXfs>
  <cellXfs count="580">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Font="1" applyAlignment="1">
      <alignment/>
    </xf>
    <xf numFmtId="0" fontId="0" fillId="0" borderId="0" xfId="0" applyAlignment="1" applyProtection="1">
      <alignment/>
      <protection locked="0"/>
    </xf>
    <xf numFmtId="1" fontId="0" fillId="0" borderId="0" xfId="0" applyNumberFormat="1" applyAlignment="1">
      <alignment/>
    </xf>
    <xf numFmtId="3" fontId="0" fillId="0" borderId="0" xfId="0" applyNumberFormat="1" applyAlignment="1">
      <alignment/>
    </xf>
    <xf numFmtId="0" fontId="0" fillId="33" borderId="0" xfId="0" applyFill="1" applyAlignment="1">
      <alignment/>
    </xf>
    <xf numFmtId="3" fontId="2" fillId="0" borderId="0" xfId="0" applyNumberFormat="1" applyFont="1" applyAlignment="1">
      <alignment/>
    </xf>
    <xf numFmtId="0" fontId="0" fillId="34" borderId="10" xfId="0" applyFill="1" applyBorder="1" applyAlignment="1" applyProtection="1">
      <alignment/>
      <protection locked="0"/>
    </xf>
    <xf numFmtId="3" fontId="0" fillId="0" borderId="0" xfId="0" applyNumberFormat="1" applyFont="1" applyAlignment="1">
      <alignment/>
    </xf>
    <xf numFmtId="1" fontId="0" fillId="34" borderId="10" xfId="0" applyNumberFormat="1" applyFill="1" applyBorder="1" applyAlignment="1" applyProtection="1">
      <alignment/>
      <protection locked="0"/>
    </xf>
    <xf numFmtId="1" fontId="0" fillId="34" borderId="11" xfId="0" applyNumberFormat="1" applyFill="1" applyBorder="1" applyAlignment="1" applyProtection="1">
      <alignment/>
      <protection locked="0"/>
    </xf>
    <xf numFmtId="1" fontId="0" fillId="34" borderId="12" xfId="0" applyNumberFormat="1" applyFill="1" applyBorder="1" applyAlignment="1" applyProtection="1">
      <alignment/>
      <protection locked="0"/>
    </xf>
    <xf numFmtId="1" fontId="0" fillId="34" borderId="13" xfId="0" applyNumberFormat="1" applyFill="1" applyBorder="1" applyAlignment="1" applyProtection="1">
      <alignment/>
      <protection locked="0"/>
    </xf>
    <xf numFmtId="1" fontId="0" fillId="34" borderId="10" xfId="0" applyNumberFormat="1" applyFill="1" applyBorder="1" applyAlignment="1" applyProtection="1">
      <alignment horizontal="right"/>
      <protection locked="0"/>
    </xf>
    <xf numFmtId="1" fontId="0" fillId="34" borderId="10" xfId="0" applyNumberFormat="1" applyFont="1" applyFill="1" applyBorder="1" applyAlignment="1" applyProtection="1">
      <alignment/>
      <protection locked="0"/>
    </xf>
    <xf numFmtId="2" fontId="0" fillId="0" borderId="0" xfId="0" applyNumberFormat="1" applyAlignment="1">
      <alignment/>
    </xf>
    <xf numFmtId="3" fontId="11" fillId="0" borderId="0" xfId="0" applyNumberFormat="1" applyFont="1" applyAlignment="1">
      <alignment/>
    </xf>
    <xf numFmtId="0" fontId="11" fillId="0" borderId="0" xfId="0" applyFont="1" applyAlignment="1">
      <alignment/>
    </xf>
    <xf numFmtId="3" fontId="0" fillId="34" borderId="10" xfId="0" applyNumberFormat="1" applyFill="1" applyBorder="1" applyAlignment="1" applyProtection="1">
      <alignment/>
      <protection locked="0"/>
    </xf>
    <xf numFmtId="3" fontId="0" fillId="34" borderId="10" xfId="0" applyNumberFormat="1" applyFill="1" applyBorder="1" applyAlignment="1" applyProtection="1">
      <alignment horizontal="right"/>
      <protection locked="0"/>
    </xf>
    <xf numFmtId="3" fontId="2" fillId="35" borderId="10" xfId="0" applyNumberFormat="1" applyFont="1" applyFill="1" applyBorder="1" applyAlignment="1">
      <alignment/>
    </xf>
    <xf numFmtId="0" fontId="0" fillId="0" borderId="0" xfId="0" applyAlignment="1" applyProtection="1">
      <alignment/>
      <protection/>
    </xf>
    <xf numFmtId="0" fontId="0" fillId="34" borderId="10" xfId="0" applyFill="1" applyBorder="1" applyAlignment="1" applyProtection="1">
      <alignment horizontal="center"/>
      <protection locked="0"/>
    </xf>
    <xf numFmtId="0" fontId="0" fillId="34" borderId="0" xfId="0" applyFill="1" applyAlignment="1" applyProtection="1">
      <alignment horizontal="center"/>
      <protection locked="0"/>
    </xf>
    <xf numFmtId="177" fontId="0" fillId="0" borderId="0" xfId="0" applyNumberFormat="1" applyAlignment="1">
      <alignment/>
    </xf>
    <xf numFmtId="178" fontId="0" fillId="0" borderId="0" xfId="0" applyNumberFormat="1" applyAlignment="1">
      <alignment/>
    </xf>
    <xf numFmtId="3" fontId="2" fillId="0" borderId="0" xfId="0" applyNumberFormat="1" applyFont="1" applyBorder="1" applyAlignment="1" applyProtection="1">
      <alignment/>
      <protection/>
    </xf>
    <xf numFmtId="3" fontId="2" fillId="33" borderId="0" xfId="0" applyNumberFormat="1" applyFont="1" applyFill="1" applyBorder="1" applyAlignment="1" applyProtection="1">
      <alignment/>
      <protection/>
    </xf>
    <xf numFmtId="3" fontId="0" fillId="0" borderId="0" xfId="0" applyNumberFormat="1" applyAlignment="1" applyProtection="1">
      <alignment/>
      <protection locked="0"/>
    </xf>
    <xf numFmtId="0" fontId="0"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2" fontId="0" fillId="0" borderId="0" xfId="0" applyNumberFormat="1" applyFont="1" applyBorder="1" applyAlignment="1" applyProtection="1">
      <alignment/>
      <protection/>
    </xf>
    <xf numFmtId="0" fontId="2" fillId="0" borderId="0" xfId="0" applyFont="1" applyBorder="1" applyAlignment="1" applyProtection="1">
      <alignment horizontal="center"/>
      <protection/>
    </xf>
    <xf numFmtId="172" fontId="0" fillId="33" borderId="0" xfId="0" applyNumberFormat="1" applyFont="1" applyFill="1" applyBorder="1" applyAlignment="1" applyProtection="1">
      <alignment/>
      <protection/>
    </xf>
    <xf numFmtId="3" fontId="0" fillId="0" borderId="0" xfId="0" applyNumberFormat="1" applyFont="1" applyBorder="1" applyAlignment="1" applyProtection="1">
      <alignment/>
      <protection/>
    </xf>
    <xf numFmtId="3" fontId="0" fillId="33" borderId="0" xfId="0" applyNumberFormat="1" applyFont="1" applyFill="1" applyBorder="1" applyAlignment="1" applyProtection="1">
      <alignment/>
      <protection/>
    </xf>
    <xf numFmtId="174" fontId="2" fillId="0" borderId="0" xfId="15" applyNumberFormat="1" applyFont="1" applyBorder="1" applyAlignment="1" applyProtection="1">
      <alignment/>
      <protection/>
    </xf>
    <xf numFmtId="2" fontId="0"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0" fontId="2" fillId="36" borderId="14" xfId="0" applyFont="1" applyFill="1" applyBorder="1" applyAlignment="1" applyProtection="1">
      <alignment/>
      <protection/>
    </xf>
    <xf numFmtId="0" fontId="0" fillId="36" borderId="15" xfId="0" applyFill="1" applyBorder="1" applyAlignment="1" applyProtection="1">
      <alignment/>
      <protection/>
    </xf>
    <xf numFmtId="0" fontId="0" fillId="36" borderId="12" xfId="0" applyFill="1" applyBorder="1" applyAlignment="1" applyProtection="1">
      <alignment/>
      <protection/>
    </xf>
    <xf numFmtId="0" fontId="0" fillId="36" borderId="10" xfId="0" applyFill="1" applyBorder="1" applyAlignment="1" applyProtection="1">
      <alignment/>
      <protection/>
    </xf>
    <xf numFmtId="0" fontId="2" fillId="36" borderId="16" xfId="0" applyFont="1" applyFill="1" applyBorder="1" applyAlignment="1">
      <alignment/>
    </xf>
    <xf numFmtId="0" fontId="0" fillId="36" borderId="10" xfId="0" applyFill="1" applyBorder="1" applyAlignment="1" applyProtection="1">
      <alignment horizontal="center"/>
      <protection/>
    </xf>
    <xf numFmtId="0" fontId="0" fillId="36" borderId="0" xfId="0" applyFill="1" applyAlignment="1">
      <alignment/>
    </xf>
    <xf numFmtId="0" fontId="0" fillId="36" borderId="17" xfId="0" applyFill="1" applyBorder="1" applyAlignment="1" applyProtection="1">
      <alignment/>
      <protection/>
    </xf>
    <xf numFmtId="2" fontId="4" fillId="36" borderId="13" xfId="0" applyNumberFormat="1" applyFont="1" applyFill="1" applyBorder="1" applyAlignment="1" applyProtection="1">
      <alignment/>
      <protection locked="0"/>
    </xf>
    <xf numFmtId="1" fontId="0" fillId="36" borderId="10" xfId="0" applyNumberFormat="1" applyFill="1" applyBorder="1" applyAlignment="1" applyProtection="1">
      <alignment/>
      <protection/>
    </xf>
    <xf numFmtId="2" fontId="4" fillId="36" borderId="10" xfId="0" applyNumberFormat="1" applyFont="1" applyFill="1" applyBorder="1" applyAlignment="1" applyProtection="1">
      <alignment/>
      <protection locked="0"/>
    </xf>
    <xf numFmtId="0" fontId="0" fillId="36" borderId="18" xfId="0" applyFill="1" applyBorder="1" applyAlignment="1" applyProtection="1">
      <alignment/>
      <protection/>
    </xf>
    <xf numFmtId="0" fontId="2" fillId="36" borderId="13" xfId="0" applyFont="1" applyFill="1" applyBorder="1" applyAlignment="1" applyProtection="1">
      <alignment/>
      <protection/>
    </xf>
    <xf numFmtId="2" fontId="2" fillId="36" borderId="10" xfId="0" applyNumberFormat="1" applyFont="1" applyFill="1" applyBorder="1" applyAlignment="1" applyProtection="1">
      <alignment/>
      <protection/>
    </xf>
    <xf numFmtId="1" fontId="2" fillId="36" borderId="10" xfId="0" applyNumberFormat="1" applyFont="1" applyFill="1" applyBorder="1" applyAlignment="1" applyProtection="1">
      <alignment/>
      <protection/>
    </xf>
    <xf numFmtId="0" fontId="0" fillId="36" borderId="16"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0" fillId="36" borderId="11" xfId="0" applyFill="1" applyBorder="1" applyAlignment="1">
      <alignment/>
    </xf>
    <xf numFmtId="0" fontId="2" fillId="36" borderId="10" xfId="0" applyFont="1" applyFill="1" applyBorder="1" applyAlignment="1" applyProtection="1">
      <alignment/>
      <protection/>
    </xf>
    <xf numFmtId="3" fontId="0" fillId="36" borderId="10" xfId="0" applyNumberFormat="1" applyFill="1" applyBorder="1" applyAlignment="1" applyProtection="1">
      <alignment horizontal="center"/>
      <protection/>
    </xf>
    <xf numFmtId="9" fontId="4" fillId="36" borderId="10" xfId="0" applyNumberFormat="1" applyFont="1" applyFill="1" applyBorder="1" applyAlignment="1" applyProtection="1">
      <alignment/>
      <protection locked="0"/>
    </xf>
    <xf numFmtId="4" fontId="0" fillId="36" borderId="10" xfId="0" applyNumberFormat="1" applyFill="1" applyBorder="1" applyAlignment="1" applyProtection="1">
      <alignment/>
      <protection/>
    </xf>
    <xf numFmtId="0" fontId="4" fillId="36" borderId="10" xfId="0" applyFont="1" applyFill="1" applyBorder="1" applyAlignment="1" applyProtection="1">
      <alignment/>
      <protection locked="0"/>
    </xf>
    <xf numFmtId="9" fontId="2" fillId="36" borderId="10" xfId="0" applyNumberFormat="1" applyFont="1" applyFill="1" applyBorder="1" applyAlignment="1" applyProtection="1">
      <alignment/>
      <protection/>
    </xf>
    <xf numFmtId="2" fontId="2" fillId="36" borderId="10" xfId="0" applyNumberFormat="1" applyFont="1" applyFill="1" applyBorder="1" applyAlignment="1">
      <alignment/>
    </xf>
    <xf numFmtId="4" fontId="2" fillId="36" borderId="10" xfId="0" applyNumberFormat="1" applyFont="1" applyFill="1" applyBorder="1" applyAlignment="1" applyProtection="1">
      <alignment/>
      <protection/>
    </xf>
    <xf numFmtId="0" fontId="0" fillId="36" borderId="10" xfId="0" applyFont="1" applyFill="1" applyBorder="1" applyAlignment="1" applyProtection="1">
      <alignment/>
      <protection/>
    </xf>
    <xf numFmtId="0" fontId="0" fillId="36" borderId="10" xfId="0" applyFill="1" applyBorder="1" applyAlignment="1">
      <alignment/>
    </xf>
    <xf numFmtId="3" fontId="0" fillId="36" borderId="10" xfId="0" applyNumberFormat="1" applyFill="1" applyBorder="1" applyAlignment="1" applyProtection="1">
      <alignment/>
      <protection/>
    </xf>
    <xf numFmtId="0" fontId="2" fillId="36" borderId="10" xfId="0" applyFont="1" applyFill="1" applyBorder="1" applyAlignment="1">
      <alignment/>
    </xf>
    <xf numFmtId="0" fontId="0" fillId="36" borderId="14" xfId="0" applyFill="1" applyBorder="1" applyAlignment="1">
      <alignment/>
    </xf>
    <xf numFmtId="0" fontId="0" fillId="36" borderId="15" xfId="0" applyFill="1" applyBorder="1" applyAlignment="1">
      <alignment/>
    </xf>
    <xf numFmtId="0" fontId="0" fillId="36" borderId="12" xfId="0" applyFill="1" applyBorder="1" applyAlignment="1">
      <alignment/>
    </xf>
    <xf numFmtId="0" fontId="0" fillId="36" borderId="17" xfId="0" applyFill="1" applyBorder="1" applyAlignment="1">
      <alignment/>
    </xf>
    <xf numFmtId="0" fontId="0" fillId="36" borderId="13" xfId="0" applyFill="1" applyBorder="1" applyAlignment="1">
      <alignment/>
    </xf>
    <xf numFmtId="0" fontId="2" fillId="36" borderId="14" xfId="0" applyFont="1" applyFill="1" applyBorder="1" applyAlignment="1">
      <alignment/>
    </xf>
    <xf numFmtId="0" fontId="0" fillId="36" borderId="10" xfId="0" applyFont="1" applyFill="1" applyBorder="1" applyAlignment="1">
      <alignment/>
    </xf>
    <xf numFmtId="0" fontId="0" fillId="36" borderId="10" xfId="0" applyFill="1" applyBorder="1" applyAlignment="1">
      <alignment horizontal="center"/>
    </xf>
    <xf numFmtId="0" fontId="0" fillId="36" borderId="10" xfId="0" applyFill="1" applyBorder="1" applyAlignment="1" applyProtection="1">
      <alignment/>
      <protection locked="0"/>
    </xf>
    <xf numFmtId="167" fontId="0" fillId="36" borderId="0" xfId="0" applyNumberFormat="1" applyFill="1" applyAlignment="1">
      <alignment/>
    </xf>
    <xf numFmtId="0" fontId="2" fillId="36" borderId="0" xfId="0" applyFont="1" applyFill="1" applyAlignment="1" applyProtection="1">
      <alignment horizontal="center"/>
      <protection/>
    </xf>
    <xf numFmtId="0" fontId="0" fillId="36" borderId="0" xfId="0" applyFill="1" applyAlignment="1" applyProtection="1">
      <alignment/>
      <protection/>
    </xf>
    <xf numFmtId="174" fontId="0" fillId="36" borderId="10" xfId="15" applyNumberFormat="1" applyFont="1" applyFill="1" applyBorder="1" applyAlignment="1" applyProtection="1">
      <alignment/>
      <protection/>
    </xf>
    <xf numFmtId="165" fontId="0" fillId="36" borderId="10" xfId="0" applyNumberFormat="1" applyFill="1" applyBorder="1" applyAlignment="1" applyProtection="1">
      <alignment/>
      <protection/>
    </xf>
    <xf numFmtId="0" fontId="7" fillId="36" borderId="10" xfId="0" applyFont="1" applyFill="1" applyBorder="1" applyAlignment="1" applyProtection="1">
      <alignment horizontal="center"/>
      <protection/>
    </xf>
    <xf numFmtId="0" fontId="0" fillId="37" borderId="0" xfId="0" applyFill="1" applyAlignment="1">
      <alignment/>
    </xf>
    <xf numFmtId="3" fontId="0" fillId="37" borderId="0" xfId="0" applyNumberFormat="1" applyFill="1" applyAlignment="1">
      <alignment/>
    </xf>
    <xf numFmtId="0" fontId="0" fillId="37" borderId="0" xfId="0" applyFill="1" applyBorder="1" applyAlignment="1" applyProtection="1">
      <alignment/>
      <protection/>
    </xf>
    <xf numFmtId="3" fontId="0" fillId="37" borderId="0" xfId="0" applyNumberFormat="1" applyFill="1" applyBorder="1" applyAlignment="1" applyProtection="1">
      <alignment/>
      <protection/>
    </xf>
    <xf numFmtId="175" fontId="0" fillId="37" borderId="0" xfId="0" applyNumberFormat="1" applyFill="1" applyAlignment="1">
      <alignment/>
    </xf>
    <xf numFmtId="3" fontId="0" fillId="37" borderId="0" xfId="0" applyNumberFormat="1" applyFill="1" applyAlignment="1" applyProtection="1">
      <alignment/>
      <protection/>
    </xf>
    <xf numFmtId="0" fontId="2" fillId="37" borderId="0" xfId="0" applyFont="1" applyFill="1" applyAlignment="1">
      <alignment/>
    </xf>
    <xf numFmtId="0" fontId="0" fillId="37" borderId="23" xfId="0" applyFill="1" applyBorder="1" applyAlignment="1">
      <alignment/>
    </xf>
    <xf numFmtId="0" fontId="0" fillId="37" borderId="15" xfId="0" applyFill="1" applyBorder="1" applyAlignment="1">
      <alignment/>
    </xf>
    <xf numFmtId="0" fontId="0" fillId="37" borderId="0" xfId="0" applyFill="1" applyBorder="1" applyAlignment="1">
      <alignment horizontal="center"/>
    </xf>
    <xf numFmtId="0" fontId="0" fillId="37" borderId="0" xfId="0" applyFill="1" applyBorder="1" applyAlignment="1">
      <alignment/>
    </xf>
    <xf numFmtId="0" fontId="2" fillId="36" borderId="15" xfId="0" applyFont="1" applyFill="1" applyBorder="1" applyAlignment="1">
      <alignment/>
    </xf>
    <xf numFmtId="0" fontId="0" fillId="36" borderId="15" xfId="0" applyFont="1" applyFill="1" applyBorder="1" applyAlignment="1" applyProtection="1">
      <alignment/>
      <protection locked="0"/>
    </xf>
    <xf numFmtId="0" fontId="0" fillId="36" borderId="14" xfId="0" applyFont="1" applyFill="1" applyBorder="1" applyAlignment="1">
      <alignment/>
    </xf>
    <xf numFmtId="0" fontId="13" fillId="36" borderId="12" xfId="0" applyFont="1" applyFill="1" applyBorder="1" applyAlignment="1">
      <alignment/>
    </xf>
    <xf numFmtId="0" fontId="2" fillId="36" borderId="24" xfId="0" applyFont="1" applyFill="1" applyBorder="1" applyAlignment="1">
      <alignment/>
    </xf>
    <xf numFmtId="0" fontId="0" fillId="36" borderId="24" xfId="0" applyFill="1" applyBorder="1" applyAlignment="1">
      <alignment/>
    </xf>
    <xf numFmtId="0" fontId="0" fillId="36" borderId="15" xfId="0" applyFont="1" applyFill="1" applyBorder="1" applyAlignment="1">
      <alignment/>
    </xf>
    <xf numFmtId="2" fontId="0" fillId="36" borderId="15" xfId="0" applyNumberFormat="1" applyFont="1" applyFill="1" applyBorder="1" applyAlignment="1" applyProtection="1">
      <alignment/>
      <protection locked="0"/>
    </xf>
    <xf numFmtId="0" fontId="2" fillId="36" borderId="23" xfId="0" applyFont="1" applyFill="1" applyBorder="1" applyAlignment="1">
      <alignment/>
    </xf>
    <xf numFmtId="0" fontId="0" fillId="36" borderId="23" xfId="0" applyFill="1" applyBorder="1" applyAlignment="1">
      <alignment/>
    </xf>
    <xf numFmtId="0" fontId="2" fillId="36" borderId="16" xfId="0" applyFont="1" applyFill="1" applyBorder="1" applyAlignment="1" applyProtection="1">
      <alignment/>
      <protection/>
    </xf>
    <xf numFmtId="0" fontId="2" fillId="36" borderId="24" xfId="0" applyFont="1" applyFill="1" applyBorder="1" applyAlignment="1" applyProtection="1">
      <alignment/>
      <protection/>
    </xf>
    <xf numFmtId="2" fontId="2" fillId="36" borderId="19" xfId="0" applyNumberFormat="1" applyFont="1" applyFill="1" applyBorder="1" applyAlignment="1" applyProtection="1">
      <alignment/>
      <protection/>
    </xf>
    <xf numFmtId="0" fontId="2" fillId="36" borderId="20" xfId="0" applyFont="1" applyFill="1" applyBorder="1" applyAlignment="1" applyProtection="1">
      <alignment/>
      <protection/>
    </xf>
    <xf numFmtId="0" fontId="2" fillId="36" borderId="0" xfId="0" applyFont="1" applyFill="1" applyBorder="1" applyAlignment="1" applyProtection="1">
      <alignment/>
      <protection/>
    </xf>
    <xf numFmtId="2" fontId="2" fillId="36" borderId="21" xfId="0" applyNumberFormat="1" applyFont="1" applyFill="1" applyBorder="1" applyAlignment="1" applyProtection="1">
      <alignment/>
      <protection/>
    </xf>
    <xf numFmtId="0" fontId="2" fillId="37" borderId="0" xfId="0" applyFont="1" applyFill="1" applyAlignment="1" applyProtection="1">
      <alignment/>
      <protection/>
    </xf>
    <xf numFmtId="0" fontId="0" fillId="37" borderId="0" xfId="0" applyFont="1" applyFill="1" applyAlignment="1" applyProtection="1">
      <alignment/>
      <protection/>
    </xf>
    <xf numFmtId="0" fontId="8" fillId="37" borderId="0" xfId="0" applyFont="1" applyFill="1" applyAlignment="1" applyProtection="1">
      <alignment/>
      <protection/>
    </xf>
    <xf numFmtId="0" fontId="0" fillId="37" borderId="0" xfId="0" applyFill="1" applyAlignment="1" applyProtection="1">
      <alignment/>
      <protection/>
    </xf>
    <xf numFmtId="0" fontId="2" fillId="37" borderId="0" xfId="0" applyFont="1" applyFill="1" applyBorder="1" applyAlignment="1" applyProtection="1">
      <alignment/>
      <protection/>
    </xf>
    <xf numFmtId="2" fontId="0" fillId="37" borderId="0" xfId="0" applyNumberFormat="1" applyFill="1" applyBorder="1" applyAlignment="1" applyProtection="1">
      <alignment/>
      <protection/>
    </xf>
    <xf numFmtId="0" fontId="0" fillId="37" borderId="21" xfId="0" applyFill="1" applyBorder="1" applyAlignment="1">
      <alignment/>
    </xf>
    <xf numFmtId="0" fontId="2" fillId="37" borderId="0" xfId="0" applyFont="1" applyFill="1" applyBorder="1" applyAlignment="1">
      <alignment/>
    </xf>
    <xf numFmtId="3" fontId="0" fillId="37" borderId="0" xfId="0" applyNumberFormat="1" applyFill="1" applyBorder="1" applyAlignment="1">
      <alignment/>
    </xf>
    <xf numFmtId="0" fontId="4" fillId="36" borderId="15" xfId="0" applyFont="1" applyFill="1" applyBorder="1" applyAlignment="1" applyProtection="1">
      <alignment/>
      <protection locked="0"/>
    </xf>
    <xf numFmtId="0" fontId="4" fillId="36" borderId="12" xfId="0" applyFont="1" applyFill="1" applyBorder="1" applyAlignment="1" applyProtection="1">
      <alignment/>
      <protection locked="0"/>
    </xf>
    <xf numFmtId="0" fontId="0" fillId="36" borderId="15" xfId="0" applyFill="1" applyBorder="1" applyAlignment="1" applyProtection="1">
      <alignment/>
      <protection locked="0"/>
    </xf>
    <xf numFmtId="0" fontId="0" fillId="36" borderId="12" xfId="0" applyFill="1" applyBorder="1" applyAlignment="1" applyProtection="1">
      <alignment/>
      <protection locked="0"/>
    </xf>
    <xf numFmtId="3" fontId="0" fillId="36" borderId="14" xfId="0" applyNumberFormat="1" applyFill="1" applyBorder="1" applyAlignment="1">
      <alignment/>
    </xf>
    <xf numFmtId="3" fontId="0" fillId="36" borderId="15" xfId="0" applyNumberFormat="1" applyFill="1" applyBorder="1" applyAlignment="1">
      <alignment/>
    </xf>
    <xf numFmtId="3" fontId="0" fillId="36" borderId="12" xfId="0" applyNumberFormat="1" applyFill="1" applyBorder="1" applyAlignment="1">
      <alignment/>
    </xf>
    <xf numFmtId="3" fontId="2" fillId="36" borderId="10" xfId="0" applyNumberFormat="1" applyFont="1" applyFill="1" applyBorder="1" applyAlignment="1" applyProtection="1">
      <alignment/>
      <protection/>
    </xf>
    <xf numFmtId="3" fontId="0" fillId="36" borderId="10" xfId="0" applyNumberFormat="1" applyFill="1" applyBorder="1" applyAlignment="1">
      <alignment horizontal="center"/>
    </xf>
    <xf numFmtId="0" fontId="0" fillId="37" borderId="21" xfId="0" applyFill="1" applyBorder="1" applyAlignment="1">
      <alignment horizontal="center"/>
    </xf>
    <xf numFmtId="0" fontId="4" fillId="36" borderId="14" xfId="0" applyFont="1" applyFill="1" applyBorder="1" applyAlignment="1" applyProtection="1">
      <alignment/>
      <protection locked="0"/>
    </xf>
    <xf numFmtId="0" fontId="0" fillId="36" borderId="12" xfId="0" applyFont="1" applyFill="1" applyBorder="1" applyAlignment="1" applyProtection="1">
      <alignment/>
      <protection locked="0"/>
    </xf>
    <xf numFmtId="0" fontId="0" fillId="37" borderId="0" xfId="0" applyFill="1" applyAlignment="1" applyProtection="1">
      <alignment/>
      <protection locked="0"/>
    </xf>
    <xf numFmtId="3" fontId="0" fillId="36" borderId="10" xfId="0" applyNumberFormat="1" applyFill="1" applyBorder="1" applyAlignment="1">
      <alignment horizontal="right"/>
    </xf>
    <xf numFmtId="3" fontId="0" fillId="36" borderId="10" xfId="0" applyNumberFormat="1" applyFill="1" applyBorder="1" applyAlignment="1">
      <alignment/>
    </xf>
    <xf numFmtId="3" fontId="2" fillId="36" borderId="10" xfId="0" applyNumberFormat="1" applyFont="1" applyFill="1" applyBorder="1" applyAlignment="1">
      <alignment/>
    </xf>
    <xf numFmtId="0" fontId="11" fillId="36" borderId="10" xfId="0" applyFont="1" applyFill="1" applyBorder="1" applyAlignment="1">
      <alignment/>
    </xf>
    <xf numFmtId="0" fontId="4" fillId="37" borderId="0" xfId="0" applyFont="1" applyFill="1" applyAlignment="1" applyProtection="1">
      <alignment/>
      <protection locked="0"/>
    </xf>
    <xf numFmtId="0" fontId="4" fillId="37" borderId="0" xfId="0" applyFont="1" applyFill="1" applyBorder="1" applyAlignment="1" applyProtection="1">
      <alignment/>
      <protection locked="0"/>
    </xf>
    <xf numFmtId="3" fontId="0" fillId="37" borderId="0" xfId="0" applyNumberFormat="1" applyFill="1" applyBorder="1" applyAlignment="1">
      <alignment horizontal="right"/>
    </xf>
    <xf numFmtId="0" fontId="0" fillId="37" borderId="0" xfId="0" applyFont="1" applyFill="1" applyBorder="1" applyAlignment="1" applyProtection="1">
      <alignment/>
      <protection locked="0"/>
    </xf>
    <xf numFmtId="0" fontId="0" fillId="37" borderId="0" xfId="0" applyFill="1" applyBorder="1" applyAlignment="1" applyProtection="1">
      <alignment horizontal="center"/>
      <protection locked="0"/>
    </xf>
    <xf numFmtId="3" fontId="0" fillId="37" borderId="0" xfId="0" applyNumberFormat="1" applyFill="1" applyBorder="1" applyAlignment="1" applyProtection="1">
      <alignment/>
      <protection locked="0"/>
    </xf>
    <xf numFmtId="0" fontId="0" fillId="37" borderId="0" xfId="0" applyFill="1" applyBorder="1" applyAlignment="1" applyProtection="1">
      <alignment/>
      <protection locked="0"/>
    </xf>
    <xf numFmtId="0" fontId="11" fillId="37" borderId="0" xfId="0" applyFont="1" applyFill="1" applyBorder="1" applyAlignment="1">
      <alignment/>
    </xf>
    <xf numFmtId="3" fontId="0" fillId="37" borderId="0" xfId="0" applyNumberFormat="1" applyFill="1" applyBorder="1" applyAlignment="1" applyProtection="1">
      <alignment horizontal="center"/>
      <protection locked="0"/>
    </xf>
    <xf numFmtId="3" fontId="0" fillId="36" borderId="10" xfId="0" applyNumberFormat="1" applyFill="1" applyBorder="1" applyAlignment="1" applyProtection="1">
      <alignment horizontal="right"/>
      <protection/>
    </xf>
    <xf numFmtId="3" fontId="0" fillId="36" borderId="10" xfId="0" applyNumberFormat="1" applyFill="1" applyBorder="1" applyAlignment="1" applyProtection="1">
      <alignment/>
      <protection locked="0"/>
    </xf>
    <xf numFmtId="0" fontId="0" fillId="36" borderId="16" xfId="0" applyFill="1" applyBorder="1" applyAlignment="1" applyProtection="1">
      <alignment/>
      <protection locked="0"/>
    </xf>
    <xf numFmtId="0" fontId="0" fillId="36" borderId="10" xfId="0" applyFont="1" applyFill="1" applyBorder="1" applyAlignment="1" applyProtection="1">
      <alignment/>
      <protection locked="0"/>
    </xf>
    <xf numFmtId="0" fontId="5" fillId="37" borderId="0" xfId="0" applyFont="1" applyFill="1" applyAlignment="1">
      <alignment/>
    </xf>
    <xf numFmtId="0" fontId="8" fillId="37" borderId="0" xfId="0" applyFont="1" applyFill="1" applyAlignment="1">
      <alignment/>
    </xf>
    <xf numFmtId="0" fontId="0" fillId="37" borderId="0" xfId="0" applyFont="1" applyFill="1" applyBorder="1" applyAlignment="1" applyProtection="1">
      <alignment/>
      <protection/>
    </xf>
    <xf numFmtId="2" fontId="0" fillId="37" borderId="0" xfId="0" applyNumberFormat="1" applyFill="1" applyAlignment="1" applyProtection="1">
      <alignment/>
      <protection locked="0"/>
    </xf>
    <xf numFmtId="1" fontId="2" fillId="36" borderId="10" xfId="0" applyNumberFormat="1" applyFont="1" applyFill="1" applyBorder="1" applyAlignment="1" applyProtection="1">
      <alignment horizontal="center"/>
      <protection/>
    </xf>
    <xf numFmtId="0" fontId="0" fillId="36" borderId="21" xfId="0" applyFont="1" applyFill="1" applyBorder="1" applyAlignment="1">
      <alignment/>
    </xf>
    <xf numFmtId="0" fontId="0" fillId="36" borderId="18" xfId="0" applyFill="1" applyBorder="1" applyAlignment="1">
      <alignment/>
    </xf>
    <xf numFmtId="3" fontId="2" fillId="36" borderId="12" xfId="0" applyNumberFormat="1" applyFont="1" applyFill="1" applyBorder="1" applyAlignment="1" applyProtection="1">
      <alignment/>
      <protection/>
    </xf>
    <xf numFmtId="0" fontId="0" fillId="36" borderId="18" xfId="0" applyFont="1" applyFill="1" applyBorder="1" applyAlignment="1">
      <alignment/>
    </xf>
    <xf numFmtId="0" fontId="2" fillId="36" borderId="14" xfId="0" applyFont="1" applyFill="1" applyBorder="1" applyAlignment="1" applyProtection="1">
      <alignment/>
      <protection locked="0"/>
    </xf>
    <xf numFmtId="3" fontId="0" fillId="36" borderId="14" xfId="0" applyNumberFormat="1" applyFill="1" applyBorder="1" applyAlignment="1" applyProtection="1">
      <alignment/>
      <protection locked="0"/>
    </xf>
    <xf numFmtId="3" fontId="0" fillId="36" borderId="15" xfId="0" applyNumberFormat="1" applyFill="1" applyBorder="1" applyAlignment="1" applyProtection="1">
      <alignment/>
      <protection locked="0"/>
    </xf>
    <xf numFmtId="3" fontId="0" fillId="36" borderId="12" xfId="0" applyNumberFormat="1" applyFill="1" applyBorder="1" applyAlignment="1" applyProtection="1">
      <alignment/>
      <protection locked="0"/>
    </xf>
    <xf numFmtId="3" fontId="2" fillId="37" borderId="15" xfId="0" applyNumberFormat="1" applyFont="1" applyFill="1" applyBorder="1" applyAlignment="1">
      <alignment/>
    </xf>
    <xf numFmtId="0" fontId="0" fillId="36" borderId="0" xfId="0" applyFill="1" applyBorder="1" applyAlignment="1">
      <alignment/>
    </xf>
    <xf numFmtId="3" fontId="0" fillId="36" borderId="13" xfId="0" applyNumberFormat="1" applyFill="1" applyBorder="1" applyAlignment="1">
      <alignment/>
    </xf>
    <xf numFmtId="3" fontId="0" fillId="36" borderId="13" xfId="0" applyNumberFormat="1" applyFill="1" applyBorder="1" applyAlignment="1">
      <alignment horizontal="center"/>
    </xf>
    <xf numFmtId="1" fontId="0" fillId="36" borderId="15" xfId="0" applyNumberFormat="1" applyFill="1" applyBorder="1" applyAlignment="1" applyProtection="1">
      <alignment/>
      <protection locked="0"/>
    </xf>
    <xf numFmtId="1" fontId="0" fillId="36" borderId="12" xfId="0" applyNumberFormat="1" applyFill="1" applyBorder="1" applyAlignment="1" applyProtection="1">
      <alignment/>
      <protection locked="0"/>
    </xf>
    <xf numFmtId="3" fontId="0" fillId="36" borderId="13" xfId="0" applyNumberFormat="1" applyFill="1" applyBorder="1" applyAlignment="1" applyProtection="1">
      <alignment/>
      <protection/>
    </xf>
    <xf numFmtId="3" fontId="0" fillId="37" borderId="15" xfId="0" applyNumberFormat="1" applyFill="1" applyBorder="1" applyAlignment="1" applyProtection="1">
      <alignment/>
      <protection/>
    </xf>
    <xf numFmtId="3" fontId="0" fillId="37" borderId="15" xfId="0" applyNumberFormat="1" applyFill="1" applyBorder="1" applyAlignment="1">
      <alignment/>
    </xf>
    <xf numFmtId="0" fontId="0" fillId="37" borderId="0" xfId="0" applyFont="1" applyFill="1" applyBorder="1" applyAlignment="1">
      <alignment/>
    </xf>
    <xf numFmtId="0" fontId="2" fillId="36" borderId="12" xfId="0" applyFont="1" applyFill="1" applyBorder="1" applyAlignment="1">
      <alignment/>
    </xf>
    <xf numFmtId="3" fontId="2" fillId="37" borderId="0" xfId="0" applyNumberFormat="1" applyFont="1" applyFill="1" applyBorder="1" applyAlignment="1">
      <alignment/>
    </xf>
    <xf numFmtId="0" fontId="2" fillId="37" borderId="0" xfId="0" applyFont="1" applyFill="1" applyAlignment="1">
      <alignment horizontal="center"/>
    </xf>
    <xf numFmtId="1" fontId="0" fillId="37" borderId="0" xfId="0" applyNumberFormat="1" applyFill="1" applyAlignment="1">
      <alignment/>
    </xf>
    <xf numFmtId="0" fontId="0" fillId="36" borderId="14" xfId="0" applyFill="1" applyBorder="1" applyAlignment="1" applyProtection="1">
      <alignment/>
      <protection/>
    </xf>
    <xf numFmtId="3" fontId="0" fillId="36" borderId="17" xfId="0" applyNumberFormat="1" applyFill="1" applyBorder="1" applyAlignment="1" applyProtection="1">
      <alignment/>
      <protection/>
    </xf>
    <xf numFmtId="0" fontId="0" fillId="37" borderId="10" xfId="0" applyFill="1" applyBorder="1" applyAlignment="1" applyProtection="1">
      <alignment/>
      <protection/>
    </xf>
    <xf numFmtId="3" fontId="0" fillId="36" borderId="12" xfId="0" applyNumberFormat="1" applyFill="1" applyBorder="1" applyAlignment="1" applyProtection="1">
      <alignment/>
      <protection/>
    </xf>
    <xf numFmtId="0" fontId="0" fillId="37" borderId="20" xfId="0" applyFill="1" applyBorder="1" applyAlignment="1">
      <alignment/>
    </xf>
    <xf numFmtId="0" fontId="0" fillId="37" borderId="20" xfId="0" applyFill="1" applyBorder="1" applyAlignment="1" applyProtection="1">
      <alignment/>
      <protection/>
    </xf>
    <xf numFmtId="0" fontId="0" fillId="36" borderId="14" xfId="0" applyFont="1" applyFill="1" applyBorder="1" applyAlignment="1" applyProtection="1">
      <alignment/>
      <protection locked="0"/>
    </xf>
    <xf numFmtId="0" fontId="0" fillId="37" borderId="0" xfId="0" applyFont="1" applyFill="1" applyAlignment="1">
      <alignment/>
    </xf>
    <xf numFmtId="3" fontId="0" fillId="37" borderId="0" xfId="0" applyNumberFormat="1" applyFont="1" applyFill="1" applyAlignment="1">
      <alignment/>
    </xf>
    <xf numFmtId="0" fontId="4" fillId="37" borderId="0" xfId="0" applyFont="1" applyFill="1" applyAlignment="1">
      <alignment/>
    </xf>
    <xf numFmtId="0" fontId="0" fillId="36" borderId="12" xfId="0" applyFill="1" applyBorder="1" applyAlignment="1">
      <alignment horizontal="right"/>
    </xf>
    <xf numFmtId="0" fontId="9" fillId="37" borderId="0" xfId="42" applyFill="1" applyBorder="1" applyAlignment="1" applyProtection="1">
      <alignment horizontal="center"/>
      <protection/>
    </xf>
    <xf numFmtId="10" fontId="4" fillId="36" borderId="10" xfId="0" applyNumberFormat="1" applyFont="1" applyFill="1" applyBorder="1" applyAlignment="1" applyProtection="1">
      <alignment/>
      <protection locked="0"/>
    </xf>
    <xf numFmtId="174" fontId="4" fillId="36" borderId="10" xfId="15" applyNumberFormat="1" applyFont="1" applyFill="1" applyBorder="1" applyAlignment="1" applyProtection="1">
      <alignment/>
      <protection locked="0"/>
    </xf>
    <xf numFmtId="167" fontId="2" fillId="36" borderId="10" xfId="0" applyNumberFormat="1" applyFont="1" applyFill="1" applyBorder="1" applyAlignment="1" applyProtection="1">
      <alignment horizontal="center"/>
      <protection/>
    </xf>
    <xf numFmtId="0" fontId="2" fillId="36" borderId="10" xfId="0" applyFont="1" applyFill="1" applyBorder="1" applyAlignment="1" applyProtection="1">
      <alignment horizontal="center"/>
      <protection/>
    </xf>
    <xf numFmtId="3" fontId="0" fillId="37" borderId="10" xfId="0" applyNumberFormat="1" applyFill="1" applyBorder="1" applyAlignment="1">
      <alignment/>
    </xf>
    <xf numFmtId="0" fontId="0" fillId="37" borderId="10" xfId="0" applyFill="1" applyBorder="1" applyAlignment="1">
      <alignment/>
    </xf>
    <xf numFmtId="3" fontId="0" fillId="37" borderId="10" xfId="0" applyNumberFormat="1" applyFill="1" applyBorder="1" applyAlignment="1" applyProtection="1">
      <alignment/>
      <protection/>
    </xf>
    <xf numFmtId="3" fontId="0" fillId="36" borderId="11" xfId="0" applyNumberFormat="1" applyFill="1" applyBorder="1" applyAlignment="1" applyProtection="1">
      <alignment/>
      <protection/>
    </xf>
    <xf numFmtId="0" fontId="13" fillId="37" borderId="21" xfId="0" applyFont="1" applyFill="1" applyBorder="1" applyAlignment="1">
      <alignment/>
    </xf>
    <xf numFmtId="0" fontId="9" fillId="37" borderId="21" xfId="42" applyFill="1" applyBorder="1" applyAlignment="1" applyProtection="1">
      <alignment/>
      <protection/>
    </xf>
    <xf numFmtId="1" fontId="9" fillId="36" borderId="12" xfId="42" applyNumberFormat="1" applyFill="1" applyBorder="1" applyAlignment="1" applyProtection="1">
      <alignment/>
      <protection/>
    </xf>
    <xf numFmtId="1" fontId="9" fillId="36" borderId="10" xfId="42" applyNumberFormat="1" applyFill="1" applyBorder="1" applyAlignment="1" applyProtection="1">
      <alignment/>
      <protection/>
    </xf>
    <xf numFmtId="0" fontId="0" fillId="37" borderId="18" xfId="0" applyFill="1" applyBorder="1" applyAlignment="1" applyProtection="1">
      <alignment/>
      <protection locked="0"/>
    </xf>
    <xf numFmtId="2" fontId="4" fillId="37" borderId="0" xfId="0" applyNumberFormat="1" applyFont="1" applyFill="1" applyAlignment="1">
      <alignment/>
    </xf>
    <xf numFmtId="171" fontId="4" fillId="37" borderId="0" xfId="15" applyFont="1" applyFill="1" applyAlignment="1">
      <alignment/>
    </xf>
    <xf numFmtId="0" fontId="9" fillId="37" borderId="0" xfId="42" applyFill="1" applyBorder="1" applyAlignment="1" applyProtection="1">
      <alignment/>
      <protection/>
    </xf>
    <xf numFmtId="0" fontId="2" fillId="37" borderId="0" xfId="0" applyFont="1" applyFill="1" applyAlignment="1" applyProtection="1">
      <alignment horizontal="left"/>
      <protection/>
    </xf>
    <xf numFmtId="0" fontId="9" fillId="37" borderId="0" xfId="42" applyFill="1" applyAlignment="1" applyProtection="1">
      <alignment horizontal="left"/>
      <protection/>
    </xf>
    <xf numFmtId="0" fontId="9" fillId="37" borderId="0" xfId="42" applyFill="1" applyAlignment="1" applyProtection="1">
      <alignment/>
      <protection/>
    </xf>
    <xf numFmtId="181" fontId="0" fillId="37" borderId="0" xfId="0" applyNumberFormat="1" applyFill="1" applyAlignment="1">
      <alignment/>
    </xf>
    <xf numFmtId="181" fontId="2" fillId="37" borderId="0" xfId="0" applyNumberFormat="1" applyFont="1" applyFill="1" applyAlignment="1" applyProtection="1">
      <alignment/>
      <protection/>
    </xf>
    <xf numFmtId="181" fontId="0" fillId="37" borderId="0" xfId="0" applyNumberFormat="1" applyFont="1" applyFill="1" applyAlignment="1" applyProtection="1">
      <alignment/>
      <protection/>
    </xf>
    <xf numFmtId="181" fontId="8" fillId="37" borderId="0" xfId="0" applyNumberFormat="1" applyFont="1" applyFill="1" applyAlignment="1" applyProtection="1">
      <alignment/>
      <protection/>
    </xf>
    <xf numFmtId="181" fontId="0" fillId="37" borderId="0" xfId="0" applyNumberFormat="1" applyFill="1" applyAlignment="1" applyProtection="1">
      <alignment/>
      <protection/>
    </xf>
    <xf numFmtId="181" fontId="2" fillId="37" borderId="0" xfId="0" applyNumberFormat="1" applyFont="1" applyFill="1" applyBorder="1" applyAlignment="1" applyProtection="1">
      <alignment/>
      <protection/>
    </xf>
    <xf numFmtId="181" fontId="0" fillId="37" borderId="0" xfId="0" applyNumberFormat="1" applyFill="1" applyBorder="1" applyAlignment="1" applyProtection="1">
      <alignment/>
      <protection/>
    </xf>
    <xf numFmtId="181" fontId="0" fillId="0" borderId="0" xfId="0" applyNumberFormat="1" applyAlignment="1">
      <alignment/>
    </xf>
    <xf numFmtId="0" fontId="9" fillId="0" borderId="0" xfId="42" applyAlignment="1" applyProtection="1">
      <alignment/>
      <protection/>
    </xf>
    <xf numFmtId="0" fontId="9" fillId="36" borderId="12" xfId="42" applyFill="1" applyBorder="1" applyAlignment="1" applyProtection="1">
      <alignment/>
      <protection/>
    </xf>
    <xf numFmtId="2" fontId="0" fillId="37" borderId="0" xfId="0" applyNumberFormat="1" applyFill="1" applyBorder="1" applyAlignment="1" applyProtection="1">
      <alignment/>
      <protection locked="0"/>
    </xf>
    <xf numFmtId="0" fontId="9" fillId="0" borderId="0" xfId="42" applyFill="1" applyAlignment="1" applyProtection="1">
      <alignment/>
      <protection/>
    </xf>
    <xf numFmtId="0" fontId="0" fillId="0" borderId="0" xfId="0" applyFill="1" applyBorder="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1" fontId="2" fillId="0" borderId="0" xfId="0" applyNumberFormat="1" applyFont="1" applyFill="1" applyBorder="1" applyAlignment="1" applyProtection="1">
      <alignment horizontal="right"/>
      <protection locked="0"/>
    </xf>
    <xf numFmtId="0" fontId="0" fillId="0" borderId="0" xfId="0" applyFill="1" applyAlignment="1">
      <alignment horizontal="center"/>
    </xf>
    <xf numFmtId="3" fontId="0" fillId="0" borderId="0" xfId="0" applyNumberFormat="1" applyFont="1" applyFill="1" applyBorder="1" applyAlignment="1" applyProtection="1">
      <alignment/>
      <protection locked="0"/>
    </xf>
    <xf numFmtId="3" fontId="0" fillId="0" borderId="0" xfId="0" applyNumberFormat="1" applyFont="1" applyFill="1" applyBorder="1" applyAlignment="1">
      <alignment/>
    </xf>
    <xf numFmtId="3" fontId="0" fillId="0" borderId="0" xfId="0" applyNumberFormat="1" applyFill="1" applyBorder="1" applyAlignment="1">
      <alignment/>
    </xf>
    <xf numFmtId="3" fontId="0"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xf>
    <xf numFmtId="3" fontId="2" fillId="0" borderId="0" xfId="0" applyNumberFormat="1" applyFont="1" applyFill="1" applyBorder="1" applyAlignment="1">
      <alignment/>
    </xf>
    <xf numFmtId="3" fontId="0" fillId="0" borderId="0" xfId="0" applyNumberFormat="1" applyFill="1" applyAlignment="1">
      <alignment/>
    </xf>
    <xf numFmtId="0" fontId="0" fillId="0" borderId="0" xfId="0" applyFill="1" applyAlignment="1" applyProtection="1">
      <alignment/>
      <protection locked="0"/>
    </xf>
    <xf numFmtId="3" fontId="2" fillId="0" borderId="0" xfId="0" applyNumberFormat="1" applyFont="1" applyFill="1" applyBorder="1" applyAlignment="1" applyProtection="1">
      <alignment/>
      <protection locked="0"/>
    </xf>
    <xf numFmtId="3" fontId="2" fillId="0" borderId="0" xfId="0" applyNumberFormat="1" applyFont="1" applyFill="1" applyAlignment="1">
      <alignment/>
    </xf>
    <xf numFmtId="0" fontId="2" fillId="0" borderId="0" xfId="0" applyFont="1" applyFill="1" applyAlignment="1">
      <alignment/>
    </xf>
    <xf numFmtId="3" fontId="11" fillId="0" borderId="0" xfId="0" applyNumberFormat="1" applyFont="1" applyFill="1" applyBorder="1" applyAlignment="1">
      <alignment/>
    </xf>
    <xf numFmtId="1" fontId="2" fillId="0" borderId="0" xfId="0" applyNumberFormat="1" applyFont="1" applyFill="1" applyBorder="1" applyAlignment="1">
      <alignment horizontal="right"/>
    </xf>
    <xf numFmtId="1" fontId="0" fillId="0" borderId="0" xfId="0" applyNumberFormat="1" applyFill="1" applyAlignment="1">
      <alignment/>
    </xf>
    <xf numFmtId="0" fontId="4" fillId="0" borderId="0" xfId="0" applyFont="1" applyFill="1" applyAlignment="1">
      <alignment/>
    </xf>
    <xf numFmtId="3" fontId="11" fillId="0" borderId="0" xfId="0" applyNumberFormat="1" applyFont="1" applyFill="1" applyAlignment="1">
      <alignment/>
    </xf>
    <xf numFmtId="0" fontId="2" fillId="0" borderId="14" xfId="0" applyFont="1" applyFill="1" applyBorder="1" applyAlignment="1">
      <alignment/>
    </xf>
    <xf numFmtId="0" fontId="0" fillId="0" borderId="15" xfId="0" applyFill="1" applyBorder="1" applyAlignment="1">
      <alignment/>
    </xf>
    <xf numFmtId="0" fontId="0" fillId="0" borderId="12" xfId="0" applyFill="1" applyBorder="1" applyAlignment="1">
      <alignment/>
    </xf>
    <xf numFmtId="0" fontId="0" fillId="0" borderId="10" xfId="0" applyFill="1" applyBorder="1" applyAlignment="1">
      <alignment horizontal="center"/>
    </xf>
    <xf numFmtId="0" fontId="0" fillId="0" borderId="14" xfId="0" applyFont="1" applyFill="1" applyBorder="1" applyAlignment="1">
      <alignment/>
    </xf>
    <xf numFmtId="0" fontId="0" fillId="0" borderId="14" xfId="0" applyFill="1" applyBorder="1" applyAlignment="1">
      <alignment/>
    </xf>
    <xf numFmtId="3" fontId="0" fillId="0" borderId="0" xfId="0" applyNumberFormat="1" applyFont="1" applyFill="1" applyAlignment="1">
      <alignment/>
    </xf>
    <xf numFmtId="2" fontId="4" fillId="0" borderId="10" xfId="0" applyNumberFormat="1" applyFont="1" applyFill="1" applyBorder="1" applyAlignment="1" applyProtection="1">
      <alignment/>
      <protection locked="0"/>
    </xf>
    <xf numFmtId="0" fontId="11" fillId="0" borderId="12" xfId="0" applyFont="1" applyFill="1" applyBorder="1" applyAlignment="1">
      <alignment/>
    </xf>
    <xf numFmtId="176" fontId="0" fillId="0" borderId="12" xfId="0" applyNumberFormat="1" applyFill="1" applyBorder="1" applyAlignment="1">
      <alignment/>
    </xf>
    <xf numFmtId="2" fontId="0" fillId="0" borderId="0" xfId="0" applyNumberFormat="1" applyFont="1" applyFill="1" applyBorder="1" applyAlignment="1" applyProtection="1">
      <alignment horizontal="right"/>
      <protection/>
    </xf>
    <xf numFmtId="0" fontId="0" fillId="0" borderId="23" xfId="0" applyFill="1" applyBorder="1" applyAlignment="1">
      <alignment/>
    </xf>
    <xf numFmtId="180" fontId="4" fillId="0" borderId="0" xfId="0" applyNumberFormat="1" applyFont="1" applyFill="1" applyAlignment="1">
      <alignment/>
    </xf>
    <xf numFmtId="0" fontId="4" fillId="0" borderId="10" xfId="0" applyFont="1" applyFill="1" applyBorder="1" applyAlignment="1" applyProtection="1">
      <alignment/>
      <protection locked="0"/>
    </xf>
    <xf numFmtId="0" fontId="2" fillId="0" borderId="15" xfId="0" applyFont="1" applyFill="1" applyBorder="1" applyAlignment="1">
      <alignment/>
    </xf>
    <xf numFmtId="0" fontId="5" fillId="0" borderId="15" xfId="0" applyFont="1" applyFill="1" applyBorder="1" applyAlignment="1" applyProtection="1">
      <alignment/>
      <protection locked="0"/>
    </xf>
    <xf numFmtId="0" fontId="0" fillId="0" borderId="10" xfId="0" applyFont="1" applyFill="1" applyBorder="1" applyAlignment="1" applyProtection="1">
      <alignment/>
      <protection locked="0"/>
    </xf>
    <xf numFmtId="0" fontId="2" fillId="0" borderId="13" xfId="0" applyFont="1" applyFill="1" applyBorder="1" applyAlignment="1" applyProtection="1">
      <alignment/>
      <protection locked="0"/>
    </xf>
    <xf numFmtId="0" fontId="5" fillId="0" borderId="13" xfId="0" applyFont="1" applyFill="1" applyBorder="1" applyAlignment="1" applyProtection="1">
      <alignment/>
      <protection locked="0"/>
    </xf>
    <xf numFmtId="3" fontId="0" fillId="0" borderId="10" xfId="0" applyNumberFormat="1" applyFill="1" applyBorder="1" applyAlignment="1" applyProtection="1">
      <alignment/>
      <protection/>
    </xf>
    <xf numFmtId="3" fontId="4" fillId="0" borderId="10" xfId="0" applyNumberFormat="1" applyFont="1" applyFill="1" applyBorder="1" applyAlignment="1" applyProtection="1">
      <alignment/>
      <protection locked="0"/>
    </xf>
    <xf numFmtId="3" fontId="2" fillId="0" borderId="10" xfId="0" applyNumberFormat="1" applyFont="1" applyFill="1" applyBorder="1" applyAlignment="1" applyProtection="1">
      <alignment/>
      <protection/>
    </xf>
    <xf numFmtId="174" fontId="0" fillId="0" borderId="10" xfId="15" applyNumberFormat="1" applyFont="1" applyFill="1" applyBorder="1" applyAlignment="1" applyProtection="1">
      <alignment/>
      <protection/>
    </xf>
    <xf numFmtId="174" fontId="2" fillId="0" borderId="10" xfId="15" applyNumberFormat="1" applyFont="1" applyFill="1" applyBorder="1" applyAlignment="1" applyProtection="1">
      <alignment/>
      <protection/>
    </xf>
    <xf numFmtId="0" fontId="0" fillId="0" borderId="0" xfId="0" applyFill="1" applyAlignment="1" applyProtection="1">
      <alignment/>
      <protection/>
    </xf>
    <xf numFmtId="3" fontId="2" fillId="0" borderId="0" xfId="0" applyNumberFormat="1" applyFont="1" applyFill="1" applyBorder="1" applyAlignment="1" applyProtection="1">
      <alignment/>
      <protection/>
    </xf>
    <xf numFmtId="3" fontId="0" fillId="0" borderId="0" xfId="0" applyNumberFormat="1" applyFill="1" applyAlignment="1" applyProtection="1">
      <alignment/>
      <protection/>
    </xf>
    <xf numFmtId="0" fontId="2" fillId="0" borderId="0" xfId="0" applyFont="1" applyFill="1" applyAlignment="1" applyProtection="1">
      <alignment/>
      <protection/>
    </xf>
    <xf numFmtId="3" fontId="2" fillId="0" borderId="0" xfId="0" applyNumberFormat="1" applyFont="1" applyFill="1" applyAlignment="1" applyProtection="1">
      <alignment/>
      <protection/>
    </xf>
    <xf numFmtId="0" fontId="2" fillId="0" borderId="10" xfId="0" applyFont="1" applyFill="1" applyBorder="1" applyAlignment="1" applyProtection="1">
      <alignment/>
      <protection locked="0"/>
    </xf>
    <xf numFmtId="0" fontId="5" fillId="0" borderId="10" xfId="0" applyFont="1" applyFill="1" applyBorder="1" applyAlignment="1" applyProtection="1">
      <alignment/>
      <protection locked="0"/>
    </xf>
    <xf numFmtId="3" fontId="12" fillId="0" borderId="0" xfId="0" applyNumberFormat="1" applyFont="1" applyFill="1" applyBorder="1" applyAlignment="1" applyProtection="1">
      <alignment/>
      <protection/>
    </xf>
    <xf numFmtId="0" fontId="0" fillId="0" borderId="0" xfId="0" applyFont="1" applyFill="1" applyAlignment="1" applyProtection="1">
      <alignment/>
      <protection/>
    </xf>
    <xf numFmtId="3" fontId="0" fillId="0" borderId="23" xfId="0" applyNumberFormat="1" applyFill="1" applyBorder="1" applyAlignment="1">
      <alignment/>
    </xf>
    <xf numFmtId="0" fontId="5" fillId="0" borderId="14" xfId="0" applyFont="1" applyFill="1" applyBorder="1" applyAlignment="1" applyProtection="1">
      <alignment/>
      <protection locked="0"/>
    </xf>
    <xf numFmtId="0" fontId="2" fillId="0" borderId="13" xfId="0" applyFont="1" applyFill="1" applyBorder="1" applyAlignment="1" applyProtection="1">
      <alignment horizontal="center"/>
      <protection locked="0"/>
    </xf>
    <xf numFmtId="0" fontId="2" fillId="0" borderId="13" xfId="0" applyFont="1" applyFill="1" applyBorder="1" applyAlignment="1" applyProtection="1">
      <alignment horizontal="center"/>
      <protection/>
    </xf>
    <xf numFmtId="0" fontId="0" fillId="0" borderId="10" xfId="0" applyFill="1" applyBorder="1" applyAlignment="1" applyProtection="1">
      <alignment/>
      <protection locked="0"/>
    </xf>
    <xf numFmtId="172" fontId="5" fillId="0" borderId="10" xfId="0" applyNumberFormat="1" applyFont="1" applyFill="1" applyBorder="1" applyAlignment="1" applyProtection="1">
      <alignment/>
      <protection locked="0"/>
    </xf>
    <xf numFmtId="0" fontId="0" fillId="0" borderId="15" xfId="0" applyFill="1" applyBorder="1" applyAlignment="1" applyProtection="1">
      <alignment/>
      <protection locked="0"/>
    </xf>
    <xf numFmtId="172" fontId="0" fillId="0" borderId="15" xfId="0" applyNumberFormat="1" applyFill="1" applyBorder="1" applyAlignment="1" applyProtection="1">
      <alignment/>
      <protection locked="0"/>
    </xf>
    <xf numFmtId="174" fontId="0" fillId="0" borderId="15" xfId="15" applyNumberFormat="1" applyFont="1" applyFill="1" applyBorder="1" applyAlignment="1" applyProtection="1">
      <alignment/>
      <protection/>
    </xf>
    <xf numFmtId="172" fontId="2" fillId="0" borderId="13" xfId="0" applyNumberFormat="1" applyFont="1" applyFill="1" applyBorder="1" applyAlignment="1" applyProtection="1">
      <alignment horizontal="center"/>
      <protection locked="0"/>
    </xf>
    <xf numFmtId="174" fontId="0" fillId="0" borderId="13" xfId="15" applyNumberFormat="1" applyFont="1" applyFill="1" applyBorder="1" applyAlignment="1" applyProtection="1">
      <alignment/>
      <protection/>
    </xf>
    <xf numFmtId="172" fontId="0" fillId="0" borderId="10" xfId="0" applyNumberFormat="1" applyFill="1" applyBorder="1" applyAlignment="1" applyProtection="1">
      <alignment/>
      <protection locked="0"/>
    </xf>
    <xf numFmtId="172" fontId="2" fillId="0" borderId="10" xfId="0" applyNumberFormat="1" applyFont="1" applyFill="1" applyBorder="1" applyAlignment="1" applyProtection="1">
      <alignment/>
      <protection locked="0"/>
    </xf>
    <xf numFmtId="172" fontId="0" fillId="0" borderId="10" xfId="0" applyNumberFormat="1" applyFont="1" applyFill="1" applyBorder="1" applyAlignment="1" applyProtection="1">
      <alignment/>
      <protection locked="0"/>
    </xf>
    <xf numFmtId="174" fontId="0" fillId="0" borderId="10" xfId="15" applyNumberFormat="1" applyFont="1" applyFill="1" applyBorder="1" applyAlignment="1" applyProtection="1">
      <alignment/>
      <protection/>
    </xf>
    <xf numFmtId="0" fontId="5" fillId="0" borderId="23" xfId="0" applyFont="1" applyFill="1" applyBorder="1" applyAlignment="1" applyProtection="1">
      <alignment/>
      <protection locked="0"/>
    </xf>
    <xf numFmtId="0" fontId="0" fillId="0" borderId="23" xfId="0" applyFill="1" applyBorder="1" applyAlignment="1" applyProtection="1">
      <alignment/>
      <protection locked="0"/>
    </xf>
    <xf numFmtId="174" fontId="0" fillId="0" borderId="23" xfId="15" applyNumberFormat="1" applyFont="1" applyFill="1" applyBorder="1" applyAlignment="1" applyProtection="1">
      <alignment/>
      <protection/>
    </xf>
    <xf numFmtId="0" fontId="2" fillId="0" borderId="0" xfId="0" applyFont="1" applyFill="1" applyBorder="1" applyAlignment="1" applyProtection="1">
      <alignment/>
      <protection locked="0"/>
    </xf>
    <xf numFmtId="172" fontId="5" fillId="0" borderId="0" xfId="0" applyNumberFormat="1" applyFont="1" applyFill="1" applyBorder="1" applyAlignment="1" applyProtection="1">
      <alignment/>
      <protection locked="0"/>
    </xf>
    <xf numFmtId="174" fontId="2" fillId="0" borderId="0" xfId="15" applyNumberFormat="1" applyFont="1" applyFill="1" applyBorder="1" applyAlignment="1" applyProtection="1">
      <alignment/>
      <protection locked="0"/>
    </xf>
    <xf numFmtId="0" fontId="2" fillId="0" borderId="23" xfId="0" applyFont="1" applyFill="1" applyBorder="1" applyAlignment="1" applyProtection="1">
      <alignment/>
      <protection locked="0"/>
    </xf>
    <xf numFmtId="174" fontId="2" fillId="0" borderId="23" xfId="15" applyNumberFormat="1" applyFont="1" applyFill="1" applyBorder="1" applyAlignment="1" applyProtection="1">
      <alignment/>
      <protection locked="0"/>
    </xf>
    <xf numFmtId="174" fontId="2" fillId="0" borderId="13" xfId="15" applyNumberFormat="1" applyFont="1" applyFill="1" applyBorder="1" applyAlignment="1" applyProtection="1">
      <alignment/>
      <protection locked="0"/>
    </xf>
    <xf numFmtId="174" fontId="2" fillId="0" borderId="10" xfId="15" applyNumberFormat="1" applyFont="1" applyFill="1" applyBorder="1" applyAlignment="1" applyProtection="1">
      <alignment/>
      <protection locked="0"/>
    </xf>
    <xf numFmtId="3" fontId="2" fillId="0" borderId="10" xfId="0" applyNumberFormat="1" applyFont="1" applyFill="1" applyBorder="1" applyAlignment="1" applyProtection="1">
      <alignment horizontal="center"/>
      <protection locked="0"/>
    </xf>
    <xf numFmtId="0" fontId="2" fillId="0" borderId="17" xfId="0" applyFont="1" applyFill="1" applyBorder="1" applyAlignment="1" applyProtection="1">
      <alignment/>
      <protection locked="0"/>
    </xf>
    <xf numFmtId="3" fontId="2" fillId="0" borderId="17" xfId="0" applyNumberFormat="1" applyFont="1" applyFill="1" applyBorder="1" applyAlignment="1" applyProtection="1">
      <alignment/>
      <protection/>
    </xf>
    <xf numFmtId="172" fontId="5" fillId="0" borderId="17" xfId="0" applyNumberFormat="1" applyFont="1" applyFill="1" applyBorder="1" applyAlignment="1" applyProtection="1">
      <alignment/>
      <protection locked="0"/>
    </xf>
    <xf numFmtId="174" fontId="2" fillId="0" borderId="17" xfId="15" applyNumberFormat="1" applyFont="1" applyFill="1" applyBorder="1" applyAlignment="1" applyProtection="1">
      <alignment/>
      <protection locked="0"/>
    </xf>
    <xf numFmtId="0" fontId="2" fillId="0" borderId="15" xfId="0" applyFont="1" applyFill="1" applyBorder="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1" fontId="0" fillId="35" borderId="13" xfId="0" applyNumberFormat="1" applyFill="1" applyBorder="1" applyAlignment="1" applyProtection="1">
      <alignment/>
      <protection locked="0"/>
    </xf>
    <xf numFmtId="1" fontId="0" fillId="35" borderId="10" xfId="0" applyNumberFormat="1" applyFill="1" applyBorder="1" applyAlignment="1" applyProtection="1">
      <alignment/>
      <protection locked="0"/>
    </xf>
    <xf numFmtId="3" fontId="0" fillId="35" borderId="10" xfId="0" applyNumberFormat="1" applyFill="1" applyBorder="1" applyAlignment="1" applyProtection="1">
      <alignment/>
      <protection locked="0"/>
    </xf>
    <xf numFmtId="3" fontId="0" fillId="35" borderId="13" xfId="0" applyNumberFormat="1" applyFill="1" applyBorder="1" applyAlignment="1" applyProtection="1">
      <alignment/>
      <protection locked="0"/>
    </xf>
    <xf numFmtId="3" fontId="0" fillId="35" borderId="10" xfId="0" applyNumberFormat="1" applyFill="1" applyBorder="1" applyAlignment="1" applyProtection="1">
      <alignment/>
      <protection/>
    </xf>
    <xf numFmtId="3" fontId="2" fillId="35" borderId="10" xfId="0" applyNumberFormat="1" applyFont="1" applyFill="1" applyBorder="1" applyAlignment="1" applyProtection="1">
      <alignment/>
      <protection/>
    </xf>
    <xf numFmtId="0" fontId="9" fillId="33" borderId="0" xfId="42" applyFill="1" applyAlignment="1" applyProtection="1">
      <alignment/>
      <protection/>
    </xf>
    <xf numFmtId="0" fontId="0" fillId="33" borderId="20" xfId="0" applyFill="1" applyBorder="1" applyAlignment="1">
      <alignment/>
    </xf>
    <xf numFmtId="0" fontId="0" fillId="33" borderId="0" xfId="0" applyFill="1" applyBorder="1" applyAlignment="1">
      <alignment/>
    </xf>
    <xf numFmtId="0" fontId="0" fillId="0" borderId="0" xfId="0" applyAlignment="1">
      <alignment horizontal="center"/>
    </xf>
    <xf numFmtId="3" fontId="2" fillId="35" borderId="13" xfId="0" applyNumberFormat="1" applyFont="1" applyFill="1" applyBorder="1" applyAlignment="1" applyProtection="1">
      <alignment horizontal="center"/>
      <protection/>
    </xf>
    <xf numFmtId="3" fontId="0" fillId="35" borderId="10" xfId="0" applyNumberFormat="1" applyFont="1" applyFill="1" applyBorder="1" applyAlignment="1" applyProtection="1">
      <alignment/>
      <protection/>
    </xf>
    <xf numFmtId="182" fontId="0" fillId="36" borderId="10" xfId="0" applyNumberFormat="1" applyFill="1" applyBorder="1" applyAlignment="1" applyProtection="1">
      <alignment horizontal="right"/>
      <protection/>
    </xf>
    <xf numFmtId="0" fontId="4" fillId="37" borderId="0" xfId="0" applyFont="1" applyFill="1" applyBorder="1" applyAlignment="1" applyProtection="1">
      <alignment/>
      <protection/>
    </xf>
    <xf numFmtId="0" fontId="5" fillId="37" borderId="0" xfId="0" applyFont="1" applyFill="1" applyBorder="1" applyAlignment="1" applyProtection="1">
      <alignment/>
      <protection/>
    </xf>
    <xf numFmtId="0" fontId="4" fillId="36" borderId="10" xfId="0" applyFont="1" applyFill="1" applyBorder="1" applyAlignment="1">
      <alignment/>
    </xf>
    <xf numFmtId="0" fontId="17" fillId="36" borderId="10" xfId="0" applyFont="1" applyFill="1" applyBorder="1" applyAlignment="1">
      <alignment/>
    </xf>
    <xf numFmtId="0" fontId="4" fillId="0" borderId="0" xfId="0" applyFont="1" applyAlignment="1">
      <alignment/>
    </xf>
    <xf numFmtId="1" fontId="11" fillId="0" borderId="0" xfId="0" applyNumberFormat="1" applyFont="1" applyFill="1" applyAlignment="1">
      <alignment/>
    </xf>
    <xf numFmtId="3" fontId="0" fillId="0" borderId="10" xfId="0" applyNumberFormat="1" applyBorder="1" applyAlignment="1">
      <alignment/>
    </xf>
    <xf numFmtId="3" fontId="2" fillId="0" borderId="10" xfId="0" applyNumberFormat="1" applyFont="1" applyBorder="1" applyAlignment="1">
      <alignment/>
    </xf>
    <xf numFmtId="0" fontId="2" fillId="0" borderId="14" xfId="0" applyFont="1" applyBorder="1" applyAlignment="1">
      <alignment/>
    </xf>
    <xf numFmtId="0" fontId="0" fillId="0" borderId="15" xfId="0" applyBorder="1" applyAlignment="1">
      <alignment/>
    </xf>
    <xf numFmtId="3" fontId="0" fillId="0" borderId="12" xfId="0" applyNumberFormat="1" applyBorder="1" applyAlignment="1">
      <alignment/>
    </xf>
    <xf numFmtId="0" fontId="5" fillId="0" borderId="14" xfId="0" applyFont="1" applyBorder="1" applyAlignment="1" applyProtection="1">
      <alignment/>
      <protection locked="0"/>
    </xf>
    <xf numFmtId="0" fontId="0" fillId="0" borderId="15" xfId="0" applyBorder="1" applyAlignment="1" applyProtection="1">
      <alignment/>
      <protection locked="0"/>
    </xf>
    <xf numFmtId="3" fontId="0" fillId="0" borderId="12" xfId="0" applyNumberFormat="1" applyBorder="1" applyAlignment="1" applyProtection="1">
      <alignment/>
      <protection locked="0"/>
    </xf>
    <xf numFmtId="0" fontId="0" fillId="0" borderId="14" xfId="0" applyBorder="1" applyAlignment="1" applyProtection="1">
      <alignment/>
      <protection locked="0"/>
    </xf>
    <xf numFmtId="0" fontId="0" fillId="36" borderId="24" xfId="0" applyFont="1" applyFill="1" applyBorder="1" applyAlignment="1">
      <alignment/>
    </xf>
    <xf numFmtId="3" fontId="0" fillId="35" borderId="10" xfId="0" applyNumberFormat="1" applyFill="1" applyBorder="1" applyAlignment="1" applyProtection="1">
      <alignment horizontal="right"/>
      <protection locked="0"/>
    </xf>
    <xf numFmtId="0" fontId="4" fillId="0" borderId="0" xfId="0" applyFont="1" applyAlignment="1" applyProtection="1">
      <alignment horizontal="center"/>
      <protection locked="0"/>
    </xf>
    <xf numFmtId="0" fontId="4" fillId="37" borderId="21" xfId="0" applyFont="1" applyFill="1" applyBorder="1" applyAlignment="1" applyProtection="1">
      <alignment horizontal="center"/>
      <protection locked="0"/>
    </xf>
    <xf numFmtId="0" fontId="4" fillId="37" borderId="0" xfId="0" applyFont="1" applyFill="1" applyBorder="1" applyAlignment="1" applyProtection="1">
      <alignment horizontal="center"/>
      <protection locked="0"/>
    </xf>
    <xf numFmtId="0" fontId="5" fillId="36" borderId="22" xfId="0" applyFont="1" applyFill="1" applyBorder="1" applyAlignment="1">
      <alignment/>
    </xf>
    <xf numFmtId="0" fontId="4" fillId="37" borderId="0" xfId="0" applyFont="1" applyFill="1" applyAlignment="1" applyProtection="1">
      <alignment/>
      <protection/>
    </xf>
    <xf numFmtId="3" fontId="9" fillId="0" borderId="0" xfId="42" applyNumberFormat="1" applyAlignment="1" applyProtection="1">
      <alignment/>
      <protection/>
    </xf>
    <xf numFmtId="3" fontId="0" fillId="0" borderId="0" xfId="0" applyNumberFormat="1" applyFill="1" applyAlignment="1">
      <alignment horizontal="center"/>
    </xf>
    <xf numFmtId="3" fontId="0" fillId="0" borderId="0" xfId="0" applyNumberFormat="1" applyFill="1" applyAlignment="1" applyProtection="1">
      <alignment/>
      <protection locked="0"/>
    </xf>
    <xf numFmtId="3" fontId="0" fillId="0" borderId="0" xfId="0" applyNumberFormat="1" applyFill="1" applyBorder="1" applyAlignment="1" applyProtection="1">
      <alignment/>
      <protection locked="0"/>
    </xf>
    <xf numFmtId="3" fontId="9" fillId="0" borderId="0" xfId="42" applyNumberFormat="1" applyFill="1" applyAlignment="1" applyProtection="1">
      <alignment/>
      <protection/>
    </xf>
    <xf numFmtId="3" fontId="11" fillId="33" borderId="15" xfId="0" applyNumberFormat="1" applyFont="1" applyFill="1" applyBorder="1" applyAlignment="1">
      <alignment/>
    </xf>
    <xf numFmtId="0" fontId="0" fillId="36" borderId="22" xfId="0" applyFont="1" applyFill="1" applyBorder="1" applyAlignment="1">
      <alignment/>
    </xf>
    <xf numFmtId="1" fontId="2" fillId="0" borderId="0" xfId="0" applyNumberFormat="1" applyFont="1" applyFill="1" applyBorder="1" applyAlignment="1">
      <alignment horizontal="center"/>
    </xf>
    <xf numFmtId="3" fontId="4" fillId="37" borderId="0" xfId="0" applyNumberFormat="1" applyFont="1" applyFill="1" applyAlignment="1" applyProtection="1">
      <alignment/>
      <protection/>
    </xf>
    <xf numFmtId="1" fontId="2" fillId="36" borderId="15" xfId="0" applyNumberFormat="1" applyFont="1" applyFill="1" applyBorder="1" applyAlignment="1" applyProtection="1">
      <alignment/>
      <protection/>
    </xf>
    <xf numFmtId="1" fontId="2" fillId="36" borderId="15" xfId="0" applyNumberFormat="1" applyFont="1" applyFill="1" applyBorder="1" applyAlignment="1">
      <alignment horizontal="center"/>
    </xf>
    <xf numFmtId="1" fontId="0" fillId="33" borderId="10" xfId="0" applyNumberFormat="1" applyFill="1" applyBorder="1" applyAlignment="1" applyProtection="1">
      <alignment/>
      <protection locked="0"/>
    </xf>
    <xf numFmtId="3" fontId="0" fillId="33" borderId="10" xfId="0" applyNumberFormat="1" applyFill="1" applyBorder="1" applyAlignment="1" applyProtection="1">
      <alignment/>
      <protection/>
    </xf>
    <xf numFmtId="3" fontId="0" fillId="33" borderId="10" xfId="0" applyNumberFormat="1" applyFill="1" applyBorder="1" applyAlignment="1" applyProtection="1">
      <alignment horizontal="right"/>
      <protection/>
    </xf>
    <xf numFmtId="3" fontId="0" fillId="33" borderId="10" xfId="0" applyNumberFormat="1" applyFill="1" applyBorder="1" applyAlignment="1">
      <alignment horizontal="center"/>
    </xf>
    <xf numFmtId="1" fontId="2" fillId="0" borderId="0" xfId="0" applyNumberFormat="1" applyFont="1" applyAlignment="1">
      <alignment/>
    </xf>
    <xf numFmtId="3" fontId="0" fillId="33" borderId="10" xfId="0" applyNumberFormat="1" applyFill="1" applyBorder="1" applyAlignment="1">
      <alignment horizontal="right"/>
    </xf>
    <xf numFmtId="0" fontId="9" fillId="36" borderId="12" xfId="42" applyFill="1" applyBorder="1" applyAlignment="1" applyProtection="1">
      <alignment horizontal="center"/>
      <protection/>
    </xf>
    <xf numFmtId="1" fontId="0" fillId="36" borderId="12" xfId="0" applyNumberFormat="1" applyFill="1" applyBorder="1" applyAlignment="1" applyProtection="1">
      <alignment/>
      <protection/>
    </xf>
    <xf numFmtId="0" fontId="2" fillId="36" borderId="12" xfId="0" applyFont="1" applyFill="1" applyBorder="1" applyAlignment="1">
      <alignment horizontal="right"/>
    </xf>
    <xf numFmtId="0" fontId="0" fillId="35" borderId="10" xfId="0" applyFill="1" applyBorder="1" applyAlignment="1">
      <alignment/>
    </xf>
    <xf numFmtId="0" fontId="9" fillId="34" borderId="10" xfId="42" applyFill="1" applyBorder="1" applyAlignment="1" applyProtection="1">
      <alignment horizontal="center"/>
      <protection/>
    </xf>
    <xf numFmtId="3" fontId="0" fillId="38" borderId="10" xfId="0" applyNumberFormat="1" applyFill="1" applyBorder="1" applyAlignment="1" applyProtection="1">
      <alignment/>
      <protection locked="0"/>
    </xf>
    <xf numFmtId="2" fontId="0" fillId="38" borderId="13" xfId="0" applyNumberFormat="1" applyFill="1" applyBorder="1" applyAlignment="1" applyProtection="1">
      <alignment/>
      <protection locked="0"/>
    </xf>
    <xf numFmtId="0" fontId="9" fillId="36" borderId="15" xfId="42" applyFill="1" applyBorder="1" applyAlignment="1" applyProtection="1">
      <alignment horizontal="center"/>
      <protection/>
    </xf>
    <xf numFmtId="1" fontId="2" fillId="36" borderId="13" xfId="0" applyNumberFormat="1" applyFont="1" applyFill="1" applyBorder="1" applyAlignment="1">
      <alignment/>
    </xf>
    <xf numFmtId="3" fontId="0" fillId="0" borderId="0" xfId="0" applyNumberFormat="1" applyAlignment="1">
      <alignment horizontal="right"/>
    </xf>
    <xf numFmtId="3" fontId="2" fillId="0" borderId="14" xfId="0" applyNumberFormat="1" applyFont="1" applyBorder="1" applyAlignment="1">
      <alignment/>
    </xf>
    <xf numFmtId="3" fontId="0" fillId="35" borderId="10" xfId="0" applyNumberFormat="1" applyFill="1" applyBorder="1" applyAlignment="1">
      <alignment horizontal="center"/>
    </xf>
    <xf numFmtId="3" fontId="0" fillId="35" borderId="10" xfId="0" applyNumberFormat="1" applyFill="1" applyBorder="1" applyAlignment="1">
      <alignment horizontal="right"/>
    </xf>
    <xf numFmtId="3" fontId="0" fillId="35" borderId="10" xfId="0" applyNumberFormat="1" applyFill="1" applyBorder="1" applyAlignment="1" applyProtection="1">
      <alignment horizontal="right"/>
      <protection/>
    </xf>
    <xf numFmtId="3" fontId="2" fillId="0" borderId="15" xfId="0" applyNumberFormat="1" applyFont="1" applyBorder="1" applyAlignment="1">
      <alignment/>
    </xf>
    <xf numFmtId="3" fontId="2" fillId="0" borderId="12" xfId="0" applyNumberFormat="1" applyFont="1" applyBorder="1" applyAlignment="1">
      <alignment/>
    </xf>
    <xf numFmtId="3" fontId="0" fillId="0" borderId="0" xfId="0" applyNumberFormat="1" applyBorder="1" applyAlignment="1">
      <alignment/>
    </xf>
    <xf numFmtId="3" fontId="2" fillId="0" borderId="10" xfId="15" applyNumberFormat="1" applyFont="1" applyFill="1" applyBorder="1" applyAlignment="1" applyProtection="1">
      <alignment/>
      <protection/>
    </xf>
    <xf numFmtId="172" fontId="2" fillId="0" borderId="12" xfId="0" applyNumberFormat="1" applyFont="1" applyFill="1" applyBorder="1" applyAlignment="1" applyProtection="1">
      <alignment/>
      <protection/>
    </xf>
    <xf numFmtId="3" fontId="0" fillId="34" borderId="12" xfId="0" applyNumberFormat="1" applyFill="1" applyBorder="1" applyAlignment="1" applyProtection="1">
      <alignment/>
      <protection locked="0"/>
    </xf>
    <xf numFmtId="0" fontId="4" fillId="0" borderId="15" xfId="0" applyFont="1" applyFill="1" applyBorder="1" applyAlignment="1">
      <alignment/>
    </xf>
    <xf numFmtId="1" fontId="2" fillId="36" borderId="14" xfId="0" applyNumberFormat="1" applyFont="1" applyFill="1" applyBorder="1" applyAlignment="1" applyProtection="1">
      <alignment horizontal="center"/>
      <protection/>
    </xf>
    <xf numFmtId="1" fontId="0" fillId="0" borderId="0" xfId="0" applyNumberFormat="1" applyAlignment="1">
      <alignment horizontal="center"/>
    </xf>
    <xf numFmtId="2" fontId="0" fillId="0" borderId="0" xfId="0" applyNumberFormat="1" applyFont="1" applyAlignment="1">
      <alignment/>
    </xf>
    <xf numFmtId="0" fontId="0" fillId="0" borderId="0" xfId="0" applyAlignment="1">
      <alignment horizontal="right"/>
    </xf>
    <xf numFmtId="3" fontId="0" fillId="36" borderId="13" xfId="0" applyNumberFormat="1" applyFill="1" applyBorder="1" applyAlignment="1" applyProtection="1">
      <alignment/>
      <protection locked="0"/>
    </xf>
    <xf numFmtId="0" fontId="17" fillId="36" borderId="10" xfId="0" applyFont="1" applyFill="1" applyBorder="1" applyAlignment="1" applyProtection="1">
      <alignment horizontal="left"/>
      <protection/>
    </xf>
    <xf numFmtId="3" fontId="17" fillId="36" borderId="10" xfId="0" applyNumberFormat="1" applyFont="1" applyFill="1" applyBorder="1" applyAlignment="1" applyProtection="1">
      <alignment/>
      <protection/>
    </xf>
    <xf numFmtId="2" fontId="17" fillId="36" borderId="10" xfId="0" applyNumberFormat="1" applyFont="1" applyFill="1" applyBorder="1" applyAlignment="1" applyProtection="1">
      <alignment horizontal="right"/>
      <protection/>
    </xf>
    <xf numFmtId="0" fontId="0" fillId="37" borderId="16" xfId="0" applyFill="1" applyBorder="1" applyAlignment="1">
      <alignment/>
    </xf>
    <xf numFmtId="0" fontId="0" fillId="37" borderId="24" xfId="0" applyFill="1" applyBorder="1" applyAlignment="1">
      <alignment/>
    </xf>
    <xf numFmtId="0" fontId="0" fillId="37" borderId="19" xfId="0" applyFill="1" applyBorder="1" applyAlignment="1">
      <alignment/>
    </xf>
    <xf numFmtId="0" fontId="0" fillId="36" borderId="0" xfId="0" applyFill="1" applyBorder="1" applyAlignment="1" applyProtection="1">
      <alignment horizontal="center"/>
      <protection locked="0"/>
    </xf>
    <xf numFmtId="0" fontId="0" fillId="36" borderId="0" xfId="0" applyFill="1" applyBorder="1" applyAlignment="1" applyProtection="1">
      <alignment/>
      <protection locked="0"/>
    </xf>
    <xf numFmtId="0" fontId="11" fillId="0" borderId="0" xfId="0" applyFont="1" applyAlignment="1">
      <alignment horizontal="center"/>
    </xf>
    <xf numFmtId="9" fontId="0" fillId="0" borderId="0" xfId="0" applyNumberFormat="1" applyBorder="1" applyAlignment="1">
      <alignment/>
    </xf>
    <xf numFmtId="9" fontId="2" fillId="0" borderId="0" xfId="0" applyNumberFormat="1" applyFont="1" applyAlignment="1">
      <alignment/>
    </xf>
    <xf numFmtId="3" fontId="2" fillId="0" borderId="0" xfId="0" applyNumberFormat="1" applyFont="1" applyFill="1" applyAlignment="1">
      <alignment horizontal="center"/>
    </xf>
    <xf numFmtId="3" fontId="3" fillId="0" borderId="0" xfId="0" applyNumberFormat="1" applyFont="1" applyAlignment="1">
      <alignment/>
    </xf>
    <xf numFmtId="3" fontId="2" fillId="0" borderId="0" xfId="0" applyNumberFormat="1" applyFont="1" applyBorder="1" applyAlignment="1">
      <alignment/>
    </xf>
    <xf numFmtId="0" fontId="0" fillId="33" borderId="0" xfId="0" applyFill="1" applyAlignment="1">
      <alignment horizontal="right"/>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2" fillId="0" borderId="0" xfId="0" applyFont="1" applyAlignment="1" applyProtection="1">
      <alignment/>
      <protection locked="0"/>
    </xf>
    <xf numFmtId="3" fontId="0" fillId="0" borderId="0" xfId="0" applyNumberFormat="1" applyFill="1" applyBorder="1" applyAlignment="1">
      <alignment horizontal="right"/>
    </xf>
    <xf numFmtId="3" fontId="0" fillId="0" borderId="0" xfId="0" applyNumberFormat="1" applyFont="1" applyAlignment="1">
      <alignment horizontal="right"/>
    </xf>
    <xf numFmtId="0" fontId="0" fillId="36" borderId="15" xfId="0" applyFont="1" applyFill="1" applyBorder="1" applyAlignment="1" applyProtection="1">
      <alignment/>
      <protection/>
    </xf>
    <xf numFmtId="0" fontId="0" fillId="36" borderId="12" xfId="0" applyFont="1" applyFill="1" applyBorder="1" applyAlignment="1" applyProtection="1">
      <alignment/>
      <protection/>
    </xf>
    <xf numFmtId="0" fontId="0" fillId="36" borderId="14" xfId="0" applyFont="1" applyFill="1" applyBorder="1" applyAlignment="1" applyProtection="1">
      <alignment/>
      <protection/>
    </xf>
    <xf numFmtId="0" fontId="11" fillId="0" borderId="0" xfId="0" applyFont="1" applyFill="1" applyAlignment="1">
      <alignment/>
    </xf>
    <xf numFmtId="3" fontId="11" fillId="0" borderId="0" xfId="0" applyNumberFormat="1" applyFont="1" applyFill="1" applyAlignment="1">
      <alignment horizontal="right"/>
    </xf>
    <xf numFmtId="3" fontId="0" fillId="0" borderId="0" xfId="0" applyNumberFormat="1" applyAlignment="1">
      <alignment horizontal="center"/>
    </xf>
    <xf numFmtId="0" fontId="0" fillId="37" borderId="13" xfId="0" applyFill="1" applyBorder="1" applyAlignment="1">
      <alignment/>
    </xf>
    <xf numFmtId="0" fontId="0" fillId="36" borderId="21" xfId="0" applyFill="1" applyBorder="1" applyAlignment="1" applyProtection="1">
      <alignment horizontal="center"/>
      <protection locked="0"/>
    </xf>
    <xf numFmtId="0" fontId="0" fillId="36" borderId="11" xfId="0" applyFill="1" applyBorder="1" applyAlignment="1" applyProtection="1">
      <alignment/>
      <protection locked="0"/>
    </xf>
    <xf numFmtId="0" fontId="11" fillId="37" borderId="0" xfId="0" applyFont="1" applyFill="1" applyAlignment="1" applyProtection="1">
      <alignment/>
      <protection/>
    </xf>
    <xf numFmtId="3" fontId="11" fillId="37" borderId="0" xfId="0" applyNumberFormat="1" applyFont="1" applyFill="1" applyAlignment="1" applyProtection="1">
      <alignment/>
      <protection/>
    </xf>
    <xf numFmtId="0" fontId="11" fillId="37" borderId="0" xfId="0" applyFont="1" applyFill="1" applyAlignment="1">
      <alignment/>
    </xf>
    <xf numFmtId="0" fontId="0" fillId="0" borderId="0" xfId="0" applyFont="1" applyFill="1" applyBorder="1" applyAlignment="1" applyProtection="1">
      <alignment/>
      <protection locked="0"/>
    </xf>
    <xf numFmtId="1" fontId="11" fillId="0" borderId="0" xfId="0" applyNumberFormat="1" applyFont="1" applyAlignment="1">
      <alignment/>
    </xf>
    <xf numFmtId="2" fontId="0" fillId="34" borderId="10" xfId="0" applyNumberFormat="1" applyFill="1" applyBorder="1" applyAlignment="1" applyProtection="1">
      <alignment/>
      <protection locked="0"/>
    </xf>
    <xf numFmtId="2" fontId="0" fillId="34" borderId="10" xfId="0" applyNumberFormat="1" applyFill="1" applyBorder="1" applyAlignment="1" applyProtection="1">
      <alignment horizontal="right"/>
      <protection locked="0"/>
    </xf>
    <xf numFmtId="3" fontId="19" fillId="37" borderId="0" xfId="0" applyNumberFormat="1" applyFont="1" applyFill="1" applyAlignment="1" applyProtection="1">
      <alignment/>
      <protection/>
    </xf>
    <xf numFmtId="0" fontId="19" fillId="37" borderId="0" xfId="0" applyFont="1" applyFill="1" applyAlignment="1" applyProtection="1">
      <alignment horizontal="right"/>
      <protection/>
    </xf>
    <xf numFmtId="0" fontId="19" fillId="37" borderId="0" xfId="0" applyFont="1" applyFill="1" applyAlignment="1" applyProtection="1">
      <alignment/>
      <protection/>
    </xf>
    <xf numFmtId="0" fontId="19" fillId="37" borderId="0" xfId="0" applyFont="1" applyFill="1" applyAlignment="1">
      <alignment/>
    </xf>
    <xf numFmtId="2" fontId="19" fillId="37" borderId="0" xfId="0" applyNumberFormat="1" applyFont="1" applyFill="1" applyBorder="1" applyAlignment="1" applyProtection="1">
      <alignment/>
      <protection/>
    </xf>
    <xf numFmtId="0" fontId="20" fillId="37" borderId="0" xfId="0" applyFont="1" applyFill="1" applyBorder="1" applyAlignment="1" applyProtection="1">
      <alignment horizontal="center"/>
      <protection/>
    </xf>
    <xf numFmtId="174" fontId="19" fillId="37" borderId="0" xfId="15" applyNumberFormat="1" applyFont="1" applyFill="1" applyBorder="1" applyAlignment="1" applyProtection="1">
      <alignment/>
      <protection/>
    </xf>
    <xf numFmtId="1" fontId="19" fillId="37" borderId="0" xfId="15" applyNumberFormat="1" applyFont="1" applyFill="1" applyBorder="1" applyAlignment="1" applyProtection="1">
      <alignment/>
      <protection/>
    </xf>
    <xf numFmtId="3" fontId="19" fillId="37" borderId="0" xfId="15" applyNumberFormat="1" applyFont="1" applyFill="1" applyBorder="1" applyAlignment="1" applyProtection="1">
      <alignment/>
      <protection/>
    </xf>
    <xf numFmtId="174" fontId="20" fillId="37" borderId="0" xfId="15" applyNumberFormat="1" applyFont="1" applyFill="1" applyBorder="1" applyAlignment="1" applyProtection="1">
      <alignment/>
      <protection/>
    </xf>
    <xf numFmtId="3" fontId="19" fillId="37" borderId="0" xfId="0" applyNumberFormat="1" applyFont="1" applyFill="1" applyAlignment="1" applyProtection="1">
      <alignment/>
      <protection locked="0"/>
    </xf>
    <xf numFmtId="0" fontId="20" fillId="37" borderId="0" xfId="0" applyFont="1" applyFill="1" applyAlignment="1" applyProtection="1">
      <alignment/>
      <protection/>
    </xf>
    <xf numFmtId="1" fontId="20" fillId="37" borderId="0" xfId="0" applyNumberFormat="1" applyFont="1" applyFill="1" applyBorder="1" applyAlignment="1" applyProtection="1">
      <alignment/>
      <protection/>
    </xf>
    <xf numFmtId="0" fontId="19" fillId="37" borderId="0" xfId="0" applyFont="1" applyFill="1" applyBorder="1" applyAlignment="1" applyProtection="1">
      <alignment/>
      <protection/>
    </xf>
    <xf numFmtId="3" fontId="0" fillId="34" borderId="10" xfId="0" applyNumberFormat="1" applyFill="1" applyBorder="1" applyAlignment="1" applyProtection="1">
      <alignment horizontal="center"/>
      <protection locked="0"/>
    </xf>
    <xf numFmtId="1" fontId="0" fillId="37" borderId="0" xfId="0" applyNumberFormat="1" applyFill="1" applyBorder="1" applyAlignment="1">
      <alignment/>
    </xf>
    <xf numFmtId="3" fontId="0" fillId="34" borderId="11" xfId="0" applyNumberFormat="1" applyFill="1" applyBorder="1" applyAlignment="1" applyProtection="1">
      <alignment/>
      <protection locked="0"/>
    </xf>
    <xf numFmtId="3" fontId="4" fillId="35" borderId="10" xfId="0" applyNumberFormat="1" applyFont="1" applyFill="1" applyBorder="1" applyAlignment="1" applyProtection="1">
      <alignment/>
      <protection locked="0"/>
    </xf>
    <xf numFmtId="0" fontId="2" fillId="0" borderId="0" xfId="0" applyFont="1" applyAlignment="1" applyProtection="1">
      <alignment horizontal="center"/>
      <protection/>
    </xf>
    <xf numFmtId="3" fontId="0" fillId="0" borderId="10" xfId="0" applyNumberFormat="1" applyFont="1" applyFill="1" applyBorder="1" applyAlignment="1">
      <alignment horizontal="right"/>
    </xf>
    <xf numFmtId="0" fontId="0" fillId="0" borderId="10" xfId="0" applyFont="1" applyFill="1" applyBorder="1" applyAlignment="1">
      <alignment horizontal="center"/>
    </xf>
    <xf numFmtId="3" fontId="0" fillId="0" borderId="10" xfId="0" applyNumberFormat="1" applyFont="1" applyFill="1" applyBorder="1" applyAlignment="1" applyProtection="1">
      <alignment horizontal="right"/>
      <protection/>
    </xf>
    <xf numFmtId="173" fontId="2" fillId="0" borderId="10" xfId="0" applyNumberFormat="1" applyFont="1" applyFill="1" applyBorder="1" applyAlignment="1" applyProtection="1">
      <alignment horizontal="right"/>
      <protection/>
    </xf>
    <xf numFmtId="180" fontId="0" fillId="34" borderId="10" xfId="0" applyNumberFormat="1" applyFill="1" applyBorder="1" applyAlignment="1" applyProtection="1">
      <alignment/>
      <protection locked="0"/>
    </xf>
    <xf numFmtId="3" fontId="0" fillId="0" borderId="0" xfId="0" applyNumberFormat="1" applyFont="1" applyFill="1" applyAlignment="1" applyProtection="1">
      <alignment/>
      <protection locked="0"/>
    </xf>
    <xf numFmtId="3" fontId="0" fillId="35" borderId="17" xfId="0" applyNumberFormat="1" applyFill="1" applyBorder="1" applyAlignment="1" applyProtection="1">
      <alignment/>
      <protection locked="0"/>
    </xf>
    <xf numFmtId="0" fontId="11" fillId="0" borderId="0" xfId="0" applyFont="1" applyAlignment="1">
      <alignment/>
    </xf>
    <xf numFmtId="0" fontId="0" fillId="0" borderId="0" xfId="0" applyFont="1" applyAlignment="1" applyProtection="1">
      <alignment/>
      <protection locked="0"/>
    </xf>
    <xf numFmtId="3" fontId="12" fillId="0" borderId="0" xfId="0" applyNumberFormat="1" applyFont="1" applyFill="1" applyAlignment="1">
      <alignment horizontal="center"/>
    </xf>
    <xf numFmtId="0" fontId="0" fillId="0" borderId="0" xfId="0" applyFont="1" applyAlignment="1" applyProtection="1">
      <alignment horizontal="left"/>
      <protection/>
    </xf>
    <xf numFmtId="3" fontId="4" fillId="0" borderId="0" xfId="0" applyNumberFormat="1" applyFont="1" applyFill="1" applyBorder="1" applyAlignment="1">
      <alignment horizontal="right"/>
    </xf>
    <xf numFmtId="3" fontId="12" fillId="0" borderId="0" xfId="0" applyNumberFormat="1" applyFont="1" applyFill="1" applyAlignment="1">
      <alignment horizontal="center"/>
    </xf>
    <xf numFmtId="3" fontId="11" fillId="0" borderId="0" xfId="0" applyNumberFormat="1" applyFont="1" applyAlignment="1">
      <alignment/>
    </xf>
    <xf numFmtId="1" fontId="0" fillId="39" borderId="10" xfId="0" applyNumberFormat="1" applyFill="1" applyBorder="1" applyAlignment="1" applyProtection="1">
      <alignment/>
      <protection locked="0"/>
    </xf>
    <xf numFmtId="1" fontId="0" fillId="39" borderId="13" xfId="0" applyNumberFormat="1" applyFill="1" applyBorder="1" applyAlignment="1" applyProtection="1">
      <alignment/>
      <protection locked="0"/>
    </xf>
    <xf numFmtId="0" fontId="66" fillId="37" borderId="0" xfId="0" applyFont="1" applyFill="1" applyBorder="1" applyAlignment="1">
      <alignment/>
    </xf>
    <xf numFmtId="1" fontId="66" fillId="36" borderId="14" xfId="0" applyNumberFormat="1" applyFont="1" applyFill="1" applyBorder="1" applyAlignment="1">
      <alignment/>
    </xf>
    <xf numFmtId="1" fontId="67" fillId="34" borderId="14" xfId="0" applyNumberFormat="1" applyFont="1" applyFill="1" applyBorder="1" applyAlignment="1" applyProtection="1">
      <alignment horizontal="center"/>
      <protection locked="0"/>
    </xf>
    <xf numFmtId="0" fontId="0" fillId="34" borderId="10" xfId="0" applyFont="1" applyFill="1" applyBorder="1" applyAlignment="1" applyProtection="1">
      <alignment/>
      <protection locked="0"/>
    </xf>
    <xf numFmtId="0" fontId="0" fillId="0" borderId="14" xfId="0" applyFont="1" applyBorder="1" applyAlignment="1" applyProtection="1">
      <alignment/>
      <protection locked="0"/>
    </xf>
    <xf numFmtId="0" fontId="66" fillId="0" borderId="0" xfId="0" applyFont="1" applyAlignment="1">
      <alignment/>
    </xf>
    <xf numFmtId="0" fontId="66" fillId="0" borderId="0" xfId="0" applyFont="1" applyAlignment="1" applyProtection="1">
      <alignment/>
      <protection locked="0"/>
    </xf>
    <xf numFmtId="1" fontId="66" fillId="0" borderId="0" xfId="0" applyNumberFormat="1" applyFont="1" applyAlignment="1" applyProtection="1">
      <alignment/>
      <protection locked="0"/>
    </xf>
    <xf numFmtId="3" fontId="66" fillId="0" borderId="0" xfId="0" applyNumberFormat="1" applyFont="1" applyAlignment="1" applyProtection="1">
      <alignment/>
      <protection locked="0"/>
    </xf>
    <xf numFmtId="178" fontId="66" fillId="0" borderId="0" xfId="0" applyNumberFormat="1" applyFont="1" applyAlignment="1" applyProtection="1">
      <alignment/>
      <protection locked="0"/>
    </xf>
    <xf numFmtId="173" fontId="66" fillId="0" borderId="0" xfId="0" applyNumberFormat="1" applyFont="1" applyAlignment="1" applyProtection="1">
      <alignment/>
      <protection locked="0"/>
    </xf>
    <xf numFmtId="2" fontId="66" fillId="0" borderId="0" xfId="0" applyNumberFormat="1" applyFont="1" applyAlignment="1" applyProtection="1">
      <alignment/>
      <protection locked="0"/>
    </xf>
    <xf numFmtId="185" fontId="9" fillId="37" borderId="0" xfId="42" applyNumberFormat="1" applyFill="1" applyBorder="1" applyAlignment="1" applyProtection="1">
      <alignment/>
      <protection/>
    </xf>
    <xf numFmtId="0" fontId="67" fillId="0" borderId="0" xfId="0" applyFont="1" applyAlignment="1" applyProtection="1">
      <alignment/>
      <protection locked="0"/>
    </xf>
    <xf numFmtId="0" fontId="0" fillId="0" borderId="0" xfId="0" applyAlignment="1" applyProtection="1">
      <alignment horizontal="left"/>
      <protection locked="0"/>
    </xf>
    <xf numFmtId="0" fontId="2" fillId="0" borderId="0" xfId="0" applyFont="1" applyFill="1" applyBorder="1" applyAlignment="1" applyProtection="1">
      <alignment horizontal="center"/>
      <protection/>
    </xf>
    <xf numFmtId="0" fontId="0" fillId="0" borderId="10" xfId="0" applyFill="1" applyBorder="1" applyAlignment="1">
      <alignment/>
    </xf>
    <xf numFmtId="172" fontId="4" fillId="0" borderId="10" xfId="0" applyNumberFormat="1" applyFont="1" applyFill="1" applyBorder="1" applyAlignment="1" applyProtection="1">
      <alignment/>
      <protection locked="0"/>
    </xf>
    <xf numFmtId="0" fontId="2" fillId="0" borderId="10" xfId="0" applyFont="1" applyFill="1" applyBorder="1" applyAlignment="1">
      <alignment/>
    </xf>
    <xf numFmtId="0" fontId="2" fillId="0" borderId="10" xfId="0" applyFont="1" applyFill="1" applyBorder="1" applyAlignment="1">
      <alignment horizontal="center"/>
    </xf>
    <xf numFmtId="3" fontId="2" fillId="35" borderId="10" xfId="0" applyNumberFormat="1" applyFont="1" applyFill="1" applyBorder="1" applyAlignment="1">
      <alignment horizontal="center"/>
    </xf>
    <xf numFmtId="1" fontId="4" fillId="0" borderId="10" xfId="0" applyNumberFormat="1" applyFont="1" applyFill="1" applyBorder="1" applyAlignment="1" applyProtection="1">
      <alignment/>
      <protection locked="0"/>
    </xf>
    <xf numFmtId="4" fontId="4" fillId="0" borderId="10" xfId="0" applyNumberFormat="1" applyFont="1" applyFill="1" applyBorder="1" applyAlignment="1" applyProtection="1">
      <alignment/>
      <protection locked="0"/>
    </xf>
    <xf numFmtId="3" fontId="0" fillId="0" borderId="10" xfId="15" applyNumberFormat="1" applyFont="1" applyFill="1" applyBorder="1" applyAlignment="1" applyProtection="1">
      <alignment/>
      <protection/>
    </xf>
    <xf numFmtId="0" fontId="0" fillId="0" borderId="10" xfId="0" applyFont="1" applyFill="1" applyBorder="1" applyAlignment="1" applyProtection="1">
      <alignment/>
      <protection/>
    </xf>
    <xf numFmtId="0" fontId="4" fillId="0" borderId="10" xfId="0" applyFont="1" applyFill="1" applyBorder="1" applyAlignment="1" applyProtection="1">
      <alignment horizontal="right"/>
      <protection locked="0"/>
    </xf>
    <xf numFmtId="0" fontId="0" fillId="0" borderId="17" xfId="0" applyFont="1" applyFill="1" applyBorder="1" applyAlignment="1" applyProtection="1">
      <alignment/>
      <protection locked="0"/>
    </xf>
    <xf numFmtId="0" fontId="0" fillId="0" borderId="17" xfId="0" applyFont="1" applyFill="1" applyBorder="1" applyAlignment="1" applyProtection="1">
      <alignment/>
      <protection/>
    </xf>
    <xf numFmtId="2" fontId="4" fillId="0" borderId="17" xfId="0" applyNumberFormat="1" applyFont="1" applyFill="1" applyBorder="1" applyAlignment="1" applyProtection="1">
      <alignment/>
      <protection locked="0"/>
    </xf>
    <xf numFmtId="174" fontId="11" fillId="0" borderId="15" xfId="0" applyNumberFormat="1" applyFont="1" applyFill="1" applyBorder="1" applyAlignment="1">
      <alignment/>
    </xf>
    <xf numFmtId="0" fontId="2" fillId="0" borderId="12" xfId="0" applyFont="1" applyFill="1" applyBorder="1" applyAlignment="1">
      <alignment/>
    </xf>
    <xf numFmtId="174" fontId="2" fillId="0" borderId="12" xfId="15" applyNumberFormat="1" applyFont="1" applyFill="1" applyBorder="1" applyAlignment="1" applyProtection="1">
      <alignment/>
      <protection/>
    </xf>
    <xf numFmtId="175" fontId="11" fillId="0" borderId="0" xfId="0" applyNumberFormat="1" applyFont="1" applyFill="1" applyBorder="1" applyAlignment="1">
      <alignment/>
    </xf>
    <xf numFmtId="174" fontId="11" fillId="0" borderId="0" xfId="0" applyNumberFormat="1" applyFont="1" applyFill="1" applyBorder="1" applyAlignment="1">
      <alignment/>
    </xf>
    <xf numFmtId="174" fontId="11" fillId="0" borderId="0" xfId="15" applyNumberFormat="1" applyFont="1" applyFill="1" applyBorder="1" applyAlignment="1">
      <alignment/>
    </xf>
    <xf numFmtId="174" fontId="2" fillId="0" borderId="10" xfId="15" applyNumberFormat="1" applyFont="1" applyFill="1" applyBorder="1" applyAlignment="1">
      <alignment horizontal="center"/>
    </xf>
    <xf numFmtId="3" fontId="0" fillId="0" borderId="10" xfId="0" applyNumberFormat="1" applyFont="1" applyFill="1" applyBorder="1" applyAlignment="1" applyProtection="1">
      <alignment/>
      <protection/>
    </xf>
    <xf numFmtId="0" fontId="2" fillId="0" borderId="17" xfId="0" applyFont="1" applyFill="1" applyBorder="1" applyAlignment="1">
      <alignment/>
    </xf>
    <xf numFmtId="3" fontId="2" fillId="0" borderId="10" xfId="0" applyNumberFormat="1" applyFont="1" applyFill="1" applyBorder="1" applyAlignment="1">
      <alignment/>
    </xf>
    <xf numFmtId="1" fontId="2" fillId="0" borderId="0" xfId="0" applyNumberFormat="1" applyFont="1" applyFill="1" applyBorder="1" applyAlignment="1">
      <alignment/>
    </xf>
    <xf numFmtId="1" fontId="2" fillId="0" borderId="10" xfId="0" applyNumberFormat="1" applyFont="1" applyFill="1" applyBorder="1" applyAlignment="1" applyProtection="1">
      <alignment/>
      <protection/>
    </xf>
    <xf numFmtId="0" fontId="11" fillId="33" borderId="15" xfId="0" applyFont="1" applyFill="1" applyBorder="1" applyAlignment="1">
      <alignment/>
    </xf>
    <xf numFmtId="2" fontId="2" fillId="33" borderId="10" xfId="0" applyNumberFormat="1" applyFont="1" applyFill="1" applyBorder="1" applyAlignment="1">
      <alignment horizontal="right"/>
    </xf>
    <xf numFmtId="3" fontId="2" fillId="0" borderId="15" xfId="0" applyNumberFormat="1" applyFont="1" applyFill="1" applyBorder="1" applyAlignment="1" applyProtection="1">
      <alignment/>
      <protection/>
    </xf>
    <xf numFmtId="174" fontId="2" fillId="0" borderId="10" xfId="15" applyNumberFormat="1" applyFont="1" applyFill="1" applyBorder="1" applyAlignment="1">
      <alignment/>
    </xf>
    <xf numFmtId="0" fontId="9" fillId="0" borderId="0" xfId="42" applyFill="1" applyBorder="1" applyAlignment="1" applyProtection="1">
      <alignment/>
      <protection/>
    </xf>
    <xf numFmtId="178" fontId="0" fillId="0" borderId="0" xfId="0" applyNumberFormat="1" applyFill="1" applyAlignment="1">
      <alignment/>
    </xf>
    <xf numFmtId="0" fontId="0" fillId="0" borderId="13" xfId="0" applyFill="1" applyBorder="1" applyAlignment="1">
      <alignment/>
    </xf>
    <xf numFmtId="0" fontId="0" fillId="0" borderId="0" xfId="0" applyFill="1" applyBorder="1" applyAlignment="1" applyProtection="1">
      <alignment/>
      <protection/>
    </xf>
    <xf numFmtId="2" fontId="0" fillId="0" borderId="0" xfId="0" applyNumberFormat="1" applyFill="1" applyBorder="1" applyAlignment="1" applyProtection="1">
      <alignment/>
      <protection/>
    </xf>
    <xf numFmtId="0" fontId="2" fillId="0" borderId="10" xfId="0" applyFont="1" applyFill="1" applyBorder="1" applyAlignment="1" applyProtection="1">
      <alignment horizontal="center"/>
      <protection/>
    </xf>
    <xf numFmtId="0" fontId="3" fillId="0" borderId="10" xfId="0" applyFont="1" applyFill="1" applyBorder="1" applyAlignment="1">
      <alignment/>
    </xf>
    <xf numFmtId="0" fontId="0" fillId="0" borderId="13" xfId="0" applyFont="1" applyFill="1" applyBorder="1" applyAlignment="1">
      <alignment/>
    </xf>
    <xf numFmtId="0" fontId="0" fillId="0" borderId="22" xfId="0" applyFill="1" applyBorder="1" applyAlignment="1">
      <alignment/>
    </xf>
    <xf numFmtId="0" fontId="0" fillId="0" borderId="11" xfId="0" applyFill="1" applyBorder="1" applyAlignment="1">
      <alignment/>
    </xf>
    <xf numFmtId="9" fontId="4" fillId="0" borderId="10" xfId="0" applyNumberFormat="1" applyFont="1" applyFill="1" applyBorder="1" applyAlignment="1" applyProtection="1">
      <alignment horizontal="center"/>
      <protection locked="0"/>
    </xf>
    <xf numFmtId="0" fontId="4" fillId="0" borderId="17" xfId="0" applyFont="1" applyFill="1" applyBorder="1" applyAlignment="1" applyProtection="1">
      <alignment/>
      <protection locked="0"/>
    </xf>
    <xf numFmtId="2" fontId="0" fillId="0" borderId="12" xfId="0" applyNumberFormat="1" applyFill="1" applyBorder="1" applyAlignment="1">
      <alignment/>
    </xf>
    <xf numFmtId="0" fontId="2" fillId="0" borderId="0" xfId="0" applyFont="1" applyFill="1" applyBorder="1" applyAlignment="1">
      <alignment horizontal="center"/>
    </xf>
    <xf numFmtId="2" fontId="0" fillId="0" borderId="0" xfId="0" applyNumberFormat="1" applyFill="1" applyBorder="1" applyAlignment="1">
      <alignment/>
    </xf>
    <xf numFmtId="2" fontId="2" fillId="0" borderId="10" xfId="0" applyNumberFormat="1" applyFont="1" applyFill="1" applyBorder="1" applyAlignment="1">
      <alignment horizontal="center"/>
    </xf>
    <xf numFmtId="3" fontId="2" fillId="0" borderId="10" xfId="0" applyNumberFormat="1" applyFont="1" applyFill="1" applyBorder="1" applyAlignment="1">
      <alignment horizontal="center"/>
    </xf>
    <xf numFmtId="3" fontId="4" fillId="0" borderId="17" xfId="0" applyNumberFormat="1" applyFont="1" applyFill="1" applyBorder="1" applyAlignment="1" applyProtection="1">
      <alignment/>
      <protection locked="0"/>
    </xf>
    <xf numFmtId="0" fontId="0" fillId="0" borderId="10" xfId="0" applyFont="1" applyFill="1" applyBorder="1" applyAlignment="1">
      <alignment/>
    </xf>
    <xf numFmtId="0" fontId="0" fillId="0" borderId="0" xfId="0" applyFont="1" applyFill="1" applyBorder="1" applyAlignment="1" applyProtection="1">
      <alignment/>
      <protection/>
    </xf>
    <xf numFmtId="0" fontId="66" fillId="0" borderId="0" xfId="0" applyFont="1" applyFill="1" applyBorder="1" applyAlignment="1" applyProtection="1">
      <alignment horizontal="center"/>
      <protection/>
    </xf>
    <xf numFmtId="2" fontId="0" fillId="0" borderId="0" xfId="0" applyNumberFormat="1" applyFont="1" applyFill="1" applyBorder="1" applyAlignment="1" applyProtection="1">
      <alignment/>
      <protection/>
    </xf>
    <xf numFmtId="4" fontId="66" fillId="0" borderId="0" xfId="0" applyNumberFormat="1" applyFont="1" applyFill="1" applyBorder="1" applyAlignment="1" applyProtection="1">
      <alignment horizontal="left"/>
      <protection/>
    </xf>
    <xf numFmtId="1" fontId="0" fillId="0" borderId="10" xfId="0" applyNumberFormat="1" applyFont="1" applyFill="1" applyBorder="1" applyAlignment="1" applyProtection="1">
      <alignment/>
      <protection locked="0"/>
    </xf>
    <xf numFmtId="0" fontId="0" fillId="0" borderId="10" xfId="0" applyFont="1" applyFill="1" applyBorder="1" applyAlignment="1" applyProtection="1">
      <alignment horizontal="right"/>
      <protection/>
    </xf>
    <xf numFmtId="0" fontId="0" fillId="0" borderId="10" xfId="0" applyFont="1" applyFill="1" applyBorder="1" applyAlignment="1" applyProtection="1">
      <alignment horizontal="right"/>
      <protection locked="0"/>
    </xf>
    <xf numFmtId="3" fontId="0" fillId="0" borderId="10" xfId="0" applyNumberFormat="1" applyFont="1" applyFill="1" applyBorder="1" applyAlignment="1" applyProtection="1">
      <alignment horizontal="right"/>
      <protection locked="0"/>
    </xf>
    <xf numFmtId="3" fontId="66" fillId="0" borderId="10" xfId="0" applyNumberFormat="1" applyFont="1" applyFill="1" applyBorder="1" applyAlignment="1" applyProtection="1">
      <alignment/>
      <protection/>
    </xf>
    <xf numFmtId="2" fontId="4" fillId="0" borderId="10" xfId="0" applyNumberFormat="1" applyFont="1" applyFill="1" applyBorder="1" applyAlignment="1" applyProtection="1">
      <alignment horizontal="right"/>
      <protection locked="0"/>
    </xf>
    <xf numFmtId="0" fontId="0" fillId="0" borderId="0" xfId="0" applyFont="1" applyFill="1" applyBorder="1" applyAlignment="1">
      <alignment/>
    </xf>
    <xf numFmtId="1" fontId="2" fillId="0" borderId="10" xfId="0" applyNumberFormat="1" applyFont="1" applyFill="1" applyBorder="1" applyAlignment="1">
      <alignment/>
    </xf>
    <xf numFmtId="3" fontId="0" fillId="0" borderId="10" xfId="0" applyNumberFormat="1" applyFont="1" applyFill="1" applyBorder="1" applyAlignment="1">
      <alignment/>
    </xf>
    <xf numFmtId="0" fontId="3" fillId="0" borderId="0" xfId="0" applyFont="1" applyFill="1" applyBorder="1" applyAlignment="1" applyProtection="1">
      <alignment/>
      <protection locked="0"/>
    </xf>
    <xf numFmtId="2" fontId="4" fillId="0" borderId="10" xfId="0" applyNumberFormat="1" applyFont="1" applyFill="1" applyBorder="1" applyAlignment="1" applyProtection="1">
      <alignment horizontal="left"/>
      <protection locked="0"/>
    </xf>
    <xf numFmtId="2" fontId="0" fillId="0" borderId="10" xfId="0" applyNumberFormat="1" applyFont="1" applyFill="1" applyBorder="1" applyAlignment="1" applyProtection="1">
      <alignment/>
      <protection/>
    </xf>
    <xf numFmtId="0" fontId="66" fillId="0" borderId="15" xfId="0" applyFont="1" applyFill="1" applyBorder="1" applyAlignment="1">
      <alignment/>
    </xf>
    <xf numFmtId="0" fontId="0" fillId="36" borderId="15" xfId="0" applyFont="1" applyFill="1" applyBorder="1" applyAlignment="1" applyProtection="1">
      <alignment/>
      <protection locked="0"/>
    </xf>
    <xf numFmtId="0" fontId="0" fillId="36" borderId="14" xfId="0" applyFont="1" applyFill="1" applyBorder="1" applyAlignment="1">
      <alignment/>
    </xf>
    <xf numFmtId="4" fontId="68" fillId="0" borderId="10" xfId="15" applyNumberFormat="1" applyFont="1" applyFill="1" applyBorder="1" applyAlignment="1" applyProtection="1">
      <alignment/>
      <protection/>
    </xf>
    <xf numFmtId="0" fontId="0" fillId="0" borderId="10" xfId="0" applyFont="1" applyFill="1" applyBorder="1" applyAlignment="1" applyProtection="1">
      <alignment/>
      <protection locked="0"/>
    </xf>
    <xf numFmtId="0" fontId="2" fillId="36" borderId="14" xfId="0" applyFont="1" applyFill="1" applyBorder="1" applyAlignment="1">
      <alignment/>
    </xf>
    <xf numFmtId="0" fontId="0" fillId="0" borderId="14" xfId="0" applyFont="1" applyFill="1" applyBorder="1" applyAlignment="1">
      <alignment/>
    </xf>
    <xf numFmtId="4" fontId="0" fillId="0" borderId="10" xfId="15" applyNumberFormat="1" applyFont="1" applyFill="1" applyBorder="1" applyAlignment="1" applyProtection="1">
      <alignment/>
      <protection locked="0"/>
    </xf>
    <xf numFmtId="0" fontId="0" fillId="0" borderId="0" xfId="0" applyFont="1" applyAlignment="1" applyProtection="1">
      <alignment/>
      <protection locked="0"/>
    </xf>
    <xf numFmtId="2" fontId="0" fillId="36" borderId="10" xfId="0" applyNumberFormat="1" applyFill="1" applyBorder="1" applyAlignment="1">
      <alignment horizontal="center"/>
    </xf>
    <xf numFmtId="0" fontId="69" fillId="36" borderId="10" xfId="0" applyFont="1" applyFill="1" applyBorder="1" applyAlignment="1">
      <alignment/>
    </xf>
    <xf numFmtId="3" fontId="2" fillId="0" borderId="0" xfId="0" applyNumberFormat="1" applyFont="1" applyAlignment="1">
      <alignment/>
    </xf>
    <xf numFmtId="9" fontId="2" fillId="0" borderId="0" xfId="0" applyNumberFormat="1" applyFont="1" applyAlignment="1">
      <alignment/>
    </xf>
    <xf numFmtId="3" fontId="0" fillId="0" borderId="0" xfId="0" applyNumberFormat="1" applyFont="1" applyAlignment="1">
      <alignment/>
    </xf>
    <xf numFmtId="180" fontId="2" fillId="0" borderId="0" xfId="57" applyNumberFormat="1" applyFont="1" applyAlignment="1">
      <alignment horizontal="left"/>
    </xf>
    <xf numFmtId="3" fontId="0" fillId="36" borderId="0" xfId="0" applyNumberFormat="1" applyFill="1" applyBorder="1" applyAlignment="1">
      <alignment/>
    </xf>
    <xf numFmtId="3" fontId="0" fillId="36" borderId="0" xfId="0" applyNumberFormat="1" applyFont="1" applyFill="1" applyBorder="1" applyAlignment="1">
      <alignment/>
    </xf>
    <xf numFmtId="0" fontId="0" fillId="0" borderId="0" xfId="0" applyFont="1" applyAlignment="1">
      <alignment/>
    </xf>
    <xf numFmtId="0" fontId="2" fillId="0" borderId="0" xfId="0" applyFont="1" applyAlignment="1" applyProtection="1">
      <alignment/>
      <protection locked="0"/>
    </xf>
    <xf numFmtId="0" fontId="18" fillId="40" borderId="0" xfId="42" applyFont="1" applyFill="1" applyAlignment="1" applyProtection="1">
      <alignment horizontal="left"/>
      <protection/>
    </xf>
    <xf numFmtId="0" fontId="0" fillId="36" borderId="14" xfId="0" applyFont="1" applyFill="1" applyBorder="1" applyAlignment="1">
      <alignment horizontal="left"/>
    </xf>
    <xf numFmtId="0" fontId="0" fillId="36" borderId="15" xfId="0" applyFont="1" applyFill="1" applyBorder="1" applyAlignment="1">
      <alignment horizontal="left"/>
    </xf>
    <xf numFmtId="0" fontId="0" fillId="36" borderId="12" xfId="0" applyFont="1" applyFill="1" applyBorder="1" applyAlignment="1">
      <alignment horizontal="left"/>
    </xf>
    <xf numFmtId="0" fontId="0" fillId="36" borderId="14" xfId="0" applyFont="1" applyFill="1" applyBorder="1" applyAlignment="1">
      <alignment horizontal="left"/>
    </xf>
    <xf numFmtId="1" fontId="2" fillId="37" borderId="14" xfId="0" applyNumberFormat="1" applyFont="1" applyFill="1" applyBorder="1" applyAlignment="1">
      <alignment horizontal="center"/>
    </xf>
    <xf numFmtId="1" fontId="2" fillId="37" borderId="15" xfId="0" applyNumberFormat="1" applyFont="1" applyFill="1" applyBorder="1" applyAlignment="1">
      <alignment horizontal="center"/>
    </xf>
    <xf numFmtId="1" fontId="2" fillId="37" borderId="12" xfId="0" applyNumberFormat="1" applyFont="1" applyFill="1" applyBorder="1" applyAlignment="1">
      <alignment horizontal="center"/>
    </xf>
    <xf numFmtId="0" fontId="9" fillId="37" borderId="0" xfId="42" applyFill="1" applyBorder="1" applyAlignment="1" applyProtection="1">
      <alignment horizontal="left"/>
      <protection/>
    </xf>
    <xf numFmtId="0" fontId="14" fillId="36" borderId="25" xfId="0" applyFont="1" applyFill="1" applyBorder="1" applyAlignment="1">
      <alignment horizontal="center" vertical="center"/>
    </xf>
    <xf numFmtId="0" fontId="14" fillId="36" borderId="26" xfId="0" applyFont="1" applyFill="1" applyBorder="1" applyAlignment="1">
      <alignment horizontal="center" vertical="center"/>
    </xf>
    <xf numFmtId="0" fontId="14" fillId="36" borderId="27" xfId="0" applyFont="1" applyFill="1" applyBorder="1" applyAlignment="1">
      <alignment horizontal="center" vertical="center"/>
    </xf>
    <xf numFmtId="0" fontId="15" fillId="37" borderId="0" xfId="0" applyFont="1" applyFill="1" applyBorder="1" applyAlignment="1">
      <alignment horizontal="center"/>
    </xf>
    <xf numFmtId="0" fontId="16" fillId="37" borderId="0" xfId="0" applyFont="1" applyFill="1" applyAlignment="1">
      <alignment horizontal="right"/>
    </xf>
    <xf numFmtId="0" fontId="18" fillId="37" borderId="0" xfId="42" applyFont="1" applyFill="1" applyAlignment="1" applyProtection="1">
      <alignment horizontal="center"/>
      <protection/>
    </xf>
    <xf numFmtId="0" fontId="21" fillId="37" borderId="0" xfId="0" applyFont="1" applyFill="1" applyAlignment="1">
      <alignment horizontal="center" vertical="top" wrapText="1"/>
    </xf>
    <xf numFmtId="0" fontId="2" fillId="0" borderId="0" xfId="0" applyFont="1" applyAlignment="1">
      <alignment/>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Samlet indkomst</a:t>
            </a:r>
          </a:p>
        </c:rich>
      </c:tx>
      <c:layout>
        <c:manualLayout>
          <c:xMode val="factor"/>
          <c:yMode val="factor"/>
          <c:x val="0.00325"/>
          <c:y val="0"/>
        </c:manualLayout>
      </c:layout>
      <c:spPr>
        <a:noFill/>
        <a:ln>
          <a:noFill/>
        </a:ln>
      </c:spPr>
    </c:title>
    <c:plotArea>
      <c:layout>
        <c:manualLayout>
          <c:xMode val="edge"/>
          <c:yMode val="edge"/>
          <c:x val="-0.0115"/>
          <c:y val="0.33275"/>
          <c:w val="0.973"/>
          <c:h val="0.4645"/>
        </c:manualLayout>
      </c:layout>
      <c:barChart>
        <c:barDir val="col"/>
        <c:grouping val="clustered"/>
        <c:varyColors val="0"/>
        <c:ser>
          <c:idx val="0"/>
          <c:order val="0"/>
          <c:tx>
            <c:strRef>
              <c:f>Årsbudget!$D$3:$I$3</c:f>
              <c:strCache>
                <c:ptCount val="1"/>
                <c:pt idx="0">
                  <c:v>2011 2010 2009 2008 2007 2006</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numRef>
          </c:cat>
          <c:val>
            <c:numRef>
              <c:f>Årsbudget!$D$22:$I$22</c:f>
              <c:numCache/>
            </c:numRef>
          </c:val>
        </c:ser>
        <c:axId val="56660292"/>
        <c:axId val="40180581"/>
      </c:barChart>
      <c:catAx>
        <c:axId val="56660292"/>
        <c:scaling>
          <c:orientation val="minMax"/>
        </c:scaling>
        <c:axPos val="b"/>
        <c:delete val="0"/>
        <c:numFmt formatCode="General" sourceLinked="1"/>
        <c:majorTickMark val="out"/>
        <c:minorTickMark val="none"/>
        <c:tickLblPos val="nextTo"/>
        <c:spPr>
          <a:ln w="3175">
            <a:solidFill>
              <a:srgbClr val="000000"/>
            </a:solidFill>
          </a:ln>
        </c:spPr>
        <c:crossAx val="40180581"/>
        <c:crosses val="autoZero"/>
        <c:auto val="0"/>
        <c:lblOffset val="100"/>
        <c:tickLblSkip val="1"/>
        <c:noMultiLvlLbl val="0"/>
      </c:catAx>
      <c:valAx>
        <c:axId val="401805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6602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Indkomst indehaver</a:t>
            </a:r>
          </a:p>
        </c:rich>
      </c:tx>
      <c:layout>
        <c:manualLayout>
          <c:xMode val="factor"/>
          <c:yMode val="factor"/>
          <c:x val="-0.01275"/>
          <c:y val="-0.005"/>
        </c:manualLayout>
      </c:layout>
      <c:spPr>
        <a:noFill/>
        <a:ln>
          <a:noFill/>
        </a:ln>
      </c:spPr>
    </c:title>
    <c:plotArea>
      <c:layout>
        <c:manualLayout>
          <c:xMode val="edge"/>
          <c:yMode val="edge"/>
          <c:x val="0.04175"/>
          <c:y val="0.244"/>
          <c:w val="0.91725"/>
          <c:h val="0.69225"/>
        </c:manualLayout>
      </c:layout>
      <c:barChart>
        <c:barDir val="col"/>
        <c:grouping val="clustered"/>
        <c:varyColors val="0"/>
        <c:ser>
          <c:idx val="0"/>
          <c:order val="0"/>
          <c:tx>
            <c:v>Indkomst indehaver</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Årsbudget!$D$18:$I$18</c:f>
              <c:numCache>
                <c:ptCount val="6"/>
                <c:pt idx="0">
                  <c:v>-5</c:v>
                </c:pt>
                <c:pt idx="1">
                  <c:v>-5</c:v>
                </c:pt>
                <c:pt idx="2">
                  <c:v>0</c:v>
                </c:pt>
                <c:pt idx="3">
                  <c:v>0</c:v>
                </c:pt>
                <c:pt idx="4">
                  <c:v>0</c:v>
                </c:pt>
                <c:pt idx="5">
                  <c:v>0</c:v>
                </c:pt>
              </c:numCache>
            </c:numRef>
          </c:val>
        </c:ser>
        <c:axId val="52914526"/>
        <c:axId val="6468687"/>
      </c:barChart>
      <c:catAx>
        <c:axId val="529145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68687"/>
        <c:crosses val="autoZero"/>
        <c:auto val="1"/>
        <c:lblOffset val="100"/>
        <c:tickLblSkip val="1"/>
        <c:noMultiLvlLbl val="0"/>
      </c:catAx>
      <c:valAx>
        <c:axId val="64686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9145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75"/>
          <c:y val="-0.00475"/>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0045"/>
          <c:y val="0.23375"/>
          <c:w val="0.95525"/>
          <c:h val="0.60225"/>
        </c:manualLayout>
      </c:layout>
      <c:barChart>
        <c:barDir val="col"/>
        <c:grouping val="clustered"/>
        <c:varyColors val="0"/>
        <c:ser>
          <c:idx val="0"/>
          <c:order val="0"/>
          <c:tx>
            <c:v>Samlet indkomst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Årsbudget!$D$22:$I$22</c:f>
              <c:numCache>
                <c:ptCount val="6"/>
                <c:pt idx="0">
                  <c:v>380.81550761003615</c:v>
                </c:pt>
                <c:pt idx="1">
                  <c:v>357</c:v>
                </c:pt>
                <c:pt idx="2">
                  <c:v>0</c:v>
                </c:pt>
                <c:pt idx="3">
                  <c:v>0</c:v>
                </c:pt>
                <c:pt idx="4">
                  <c:v>0</c:v>
                </c:pt>
                <c:pt idx="5">
                  <c:v>0</c:v>
                </c:pt>
              </c:numCache>
            </c:numRef>
          </c:val>
        </c:ser>
        <c:axId val="58218184"/>
        <c:axId val="54201609"/>
      </c:barChart>
      <c:catAx>
        <c:axId val="582181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201609"/>
        <c:crosses val="autoZero"/>
        <c:auto val="1"/>
        <c:lblOffset val="100"/>
        <c:tickLblSkip val="1"/>
        <c:noMultiLvlLbl val="0"/>
      </c:catAx>
      <c:valAx>
        <c:axId val="542016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2181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05"/>
          <c:y val="-0.00475"/>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004"/>
          <c:y val="0.226"/>
          <c:w val="0.96"/>
          <c:h val="0.71525"/>
        </c:manualLayout>
      </c:layout>
      <c:barChart>
        <c:barDir val="col"/>
        <c:grouping val="clustered"/>
        <c:varyColors val="0"/>
        <c:ser>
          <c:idx val="0"/>
          <c:order val="0"/>
          <c:tx>
            <c:v>Variable omkostninger</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Grafer!$M$2:$R$2</c:f>
              <c:numCache/>
            </c:numRef>
          </c:val>
        </c:ser>
        <c:axId val="18052434"/>
        <c:axId val="28254179"/>
      </c:barChart>
      <c:catAx>
        <c:axId val="180524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254179"/>
        <c:crosses val="autoZero"/>
        <c:auto val="1"/>
        <c:lblOffset val="100"/>
        <c:tickLblSkip val="1"/>
        <c:noMultiLvlLbl val="0"/>
      </c:catAx>
      <c:valAx>
        <c:axId val="282541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0524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25"/>
          <c:y val="-0.005"/>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04025"/>
          <c:y val="0.2255"/>
          <c:w val="0.9195"/>
          <c:h val="0.71475"/>
        </c:manualLayout>
      </c:layout>
      <c:barChart>
        <c:barDir val="col"/>
        <c:grouping val="clustered"/>
        <c:varyColors val="0"/>
        <c:ser>
          <c:idx val="0"/>
          <c:order val="0"/>
          <c:tx>
            <c:v>Kapacitetsomkostninger</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Grafer!$M$4:$R$4</c:f>
              <c:numCache/>
            </c:numRef>
          </c:val>
        </c:ser>
        <c:axId val="52961020"/>
        <c:axId val="6887133"/>
      </c:barChart>
      <c:catAx>
        <c:axId val="5296102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887133"/>
        <c:crosses val="autoZero"/>
        <c:auto val="1"/>
        <c:lblOffset val="100"/>
        <c:tickLblSkip val="1"/>
        <c:noMultiLvlLbl val="0"/>
      </c:catAx>
      <c:valAx>
        <c:axId val="68871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9610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175"/>
          <c:y val="-0.00475"/>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0375"/>
          <c:y val="0.2325"/>
          <c:w val="0.925"/>
          <c:h val="0.711"/>
        </c:manualLayout>
      </c:layout>
      <c:barChart>
        <c:barDir val="col"/>
        <c:grouping val="clustered"/>
        <c:varyColors val="0"/>
        <c:ser>
          <c:idx val="0"/>
          <c:order val="0"/>
          <c:tx>
            <c:v>Afskrivninger</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Grafer!$M$37:$R$37</c:f>
              <c:numCache/>
            </c:numRef>
          </c:val>
        </c:ser>
        <c:axId val="61984198"/>
        <c:axId val="20986871"/>
      </c:barChart>
      <c:catAx>
        <c:axId val="619841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986871"/>
        <c:crosses val="autoZero"/>
        <c:auto val="1"/>
        <c:lblOffset val="100"/>
        <c:tickLblSkip val="1"/>
        <c:noMultiLvlLbl val="0"/>
      </c:catAx>
      <c:valAx>
        <c:axId val="209868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19841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
          <c:y val="-0.00475"/>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03825"/>
          <c:y val="0.22575"/>
          <c:w val="0.9255"/>
          <c:h val="0.71575"/>
        </c:manualLayout>
      </c:layout>
      <c:barChart>
        <c:barDir val="col"/>
        <c:grouping val="clustered"/>
        <c:varyColors val="0"/>
        <c:ser>
          <c:idx val="0"/>
          <c:order val="0"/>
          <c:tx>
            <c:v>Renteudgifter</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5"/>
                <c:pt idx="0">
                  <c:v>2011</c:v>
                </c:pt>
                <c:pt idx="1">
                  <c:v>2010</c:v>
                </c:pt>
                <c:pt idx="2">
                  <c:v>2009</c:v>
                </c:pt>
                <c:pt idx="3">
                  <c:v>2008</c:v>
                </c:pt>
                <c:pt idx="4">
                  <c:v>2007</c:v>
                </c:pt>
              </c:numCache>
            </c:numRef>
          </c:cat>
          <c:val>
            <c:numRef>
              <c:f>Grafer!$M$6:$Q$6</c:f>
              <c:numCache/>
            </c:numRef>
          </c:val>
        </c:ser>
        <c:axId val="54664112"/>
        <c:axId val="22214961"/>
      </c:barChart>
      <c:catAx>
        <c:axId val="546641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214961"/>
        <c:crosses val="autoZero"/>
        <c:auto val="1"/>
        <c:lblOffset val="100"/>
        <c:tickLblSkip val="1"/>
        <c:noMultiLvlLbl val="0"/>
      </c:catAx>
      <c:valAx>
        <c:axId val="222149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6641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0475"/>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03825"/>
          <c:y val="0.23425"/>
          <c:w val="0.9265"/>
          <c:h val="0.7075"/>
        </c:manualLayout>
      </c:layout>
      <c:barChart>
        <c:barDir val="col"/>
        <c:grouping val="clustered"/>
        <c:varyColors val="0"/>
        <c:ser>
          <c:idx val="0"/>
          <c:order val="0"/>
          <c:tx>
            <c:v>Privatforbrug</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Grafer!$M$8:$R$8</c:f>
              <c:numCache/>
            </c:numRef>
          </c:val>
        </c:ser>
        <c:axId val="65716922"/>
        <c:axId val="54581387"/>
      </c:barChart>
      <c:catAx>
        <c:axId val="6571692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581387"/>
        <c:crosses val="autoZero"/>
        <c:auto val="1"/>
        <c:lblOffset val="100"/>
        <c:tickLblSkip val="1"/>
        <c:noMultiLvlLbl val="0"/>
      </c:catAx>
      <c:valAx>
        <c:axId val="545813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7169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0475"/>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
          <c:y val="0.224"/>
          <c:w val="0.96175"/>
          <c:h val="0.60975"/>
        </c:manualLayout>
      </c:layout>
      <c:barChart>
        <c:barDir val="col"/>
        <c:grouping val="clustered"/>
        <c:varyColors val="0"/>
        <c:ser>
          <c:idx val="0"/>
          <c:order val="0"/>
          <c:tx>
            <c:v>Skatter</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Grafer!$M$10:$R$10</c:f>
              <c:numCache/>
            </c:numRef>
          </c:val>
        </c:ser>
        <c:axId val="21470436"/>
        <c:axId val="59016197"/>
      </c:barChart>
      <c:catAx>
        <c:axId val="214704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016197"/>
        <c:crosses val="autoZero"/>
        <c:auto val="1"/>
        <c:lblOffset val="100"/>
        <c:tickLblSkip val="1"/>
        <c:noMultiLvlLbl val="0"/>
      </c:catAx>
      <c:valAx>
        <c:axId val="590161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4704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
          <c:y val="-0.00425"/>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04075"/>
          <c:y val="0.213"/>
          <c:w val="0.91925"/>
          <c:h val="0.73475"/>
        </c:manualLayout>
      </c:layout>
      <c:barChart>
        <c:barDir val="col"/>
        <c:grouping val="clustered"/>
        <c:varyColors val="0"/>
        <c:ser>
          <c:idx val="0"/>
          <c:order val="0"/>
          <c:tx>
            <c:v>Lønomkostninger</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Grafer!$M$15:$R$15</c:f>
              <c:numCache/>
            </c:numRef>
          </c:val>
        </c:ser>
        <c:axId val="61383726"/>
        <c:axId val="15582623"/>
      </c:barChart>
      <c:catAx>
        <c:axId val="613837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582623"/>
        <c:crosses val="autoZero"/>
        <c:auto val="1"/>
        <c:lblOffset val="100"/>
        <c:tickLblSkip val="1"/>
        <c:noMultiLvlLbl val="0"/>
      </c:catAx>
      <c:valAx>
        <c:axId val="155826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3837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Egenkapital</a:t>
            </a:r>
          </a:p>
        </c:rich>
      </c:tx>
      <c:layout>
        <c:manualLayout>
          <c:xMode val="factor"/>
          <c:yMode val="factor"/>
          <c:x val="0.003"/>
          <c:y val="0"/>
        </c:manualLayout>
      </c:layout>
      <c:spPr>
        <a:noFill/>
        <a:ln>
          <a:noFill/>
        </a:ln>
      </c:spPr>
    </c:title>
    <c:plotArea>
      <c:layout>
        <c:manualLayout>
          <c:xMode val="edge"/>
          <c:yMode val="edge"/>
          <c:x val="0.01575"/>
          <c:y val="0.32075"/>
          <c:w val="0.94325"/>
          <c:h val="0.60525"/>
        </c:manualLayout>
      </c:layout>
      <c:barChart>
        <c:barDir val="col"/>
        <c:grouping val="clustered"/>
        <c:varyColors val="0"/>
        <c:ser>
          <c:idx val="0"/>
          <c:order val="0"/>
          <c:tx>
            <c:v>Egenkapital+Budget!$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numRef>
          </c:cat>
          <c:val>
            <c:numRef>
              <c:f>Årsbudget!$D$39:$I$39</c:f>
              <c:numCache/>
            </c:numRef>
          </c:val>
        </c:ser>
        <c:axId val="26080910"/>
        <c:axId val="33401599"/>
      </c:barChart>
      <c:catAx>
        <c:axId val="26080910"/>
        <c:scaling>
          <c:orientation val="minMax"/>
        </c:scaling>
        <c:axPos val="b"/>
        <c:delete val="0"/>
        <c:numFmt formatCode="General" sourceLinked="1"/>
        <c:majorTickMark val="out"/>
        <c:minorTickMark val="none"/>
        <c:tickLblPos val="nextTo"/>
        <c:spPr>
          <a:ln w="3175">
            <a:solidFill>
              <a:srgbClr val="000000"/>
            </a:solidFill>
          </a:ln>
        </c:spPr>
        <c:crossAx val="33401599"/>
        <c:crosses val="autoZero"/>
        <c:auto val="0"/>
        <c:lblOffset val="100"/>
        <c:tickLblSkip val="1"/>
        <c:noMultiLvlLbl val="0"/>
      </c:catAx>
      <c:valAx>
        <c:axId val="334015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809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
          <c:y val="-0.00475"/>
        </c:manualLayout>
      </c:layout>
      <c:spPr>
        <a:noFill/>
        <a:ln>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38"/>
          <c:y val="0.264"/>
          <c:w val="0.92575"/>
          <c:h val="0.67975"/>
        </c:manualLayout>
      </c:layout>
      <c:barChart>
        <c:barDir val="col"/>
        <c:grouping val="clustered"/>
        <c:varyColors val="0"/>
        <c:ser>
          <c:idx val="0"/>
          <c:order val="0"/>
          <c:tx>
            <c:v>Dækningsbidrag mark</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Årsbudget!$D$4:$I$4</c:f>
              <c:numCache>
                <c:ptCount val="6"/>
                <c:pt idx="0">
                  <c:v>638.2673000000001</c:v>
                </c:pt>
                <c:pt idx="1">
                  <c:v>600</c:v>
                </c:pt>
                <c:pt idx="2">
                  <c:v>0</c:v>
                </c:pt>
                <c:pt idx="3">
                  <c:v>0</c:v>
                </c:pt>
                <c:pt idx="4">
                  <c:v>0</c:v>
                </c:pt>
                <c:pt idx="5">
                  <c:v>0</c:v>
                </c:pt>
              </c:numCache>
            </c:numRef>
          </c:val>
        </c:ser>
        <c:axId val="32178936"/>
        <c:axId val="21174969"/>
      </c:barChart>
      <c:catAx>
        <c:axId val="321789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174969"/>
        <c:crosses val="autoZero"/>
        <c:auto val="1"/>
        <c:lblOffset val="100"/>
        <c:tickLblSkip val="1"/>
        <c:noMultiLvlLbl val="0"/>
      </c:catAx>
      <c:valAx>
        <c:axId val="211749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1789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975"/>
          <c:y val="-0.00475"/>
        </c:manualLayout>
      </c:layout>
      <c:spPr>
        <a:noFill/>
        <a:ln>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4025"/>
          <c:y val="0.2665"/>
          <c:w val="0.91875"/>
          <c:h val="0.677"/>
        </c:manualLayout>
      </c:layout>
      <c:barChart>
        <c:barDir val="col"/>
        <c:grouping val="clustered"/>
        <c:varyColors val="0"/>
        <c:ser>
          <c:idx val="0"/>
          <c:order val="0"/>
          <c:tx>
            <c:v>Dækningsbidrag svin</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Årsbudget!$D$5:$I$5</c:f>
              <c:numCache>
                <c:ptCount val="6"/>
                <c:pt idx="0">
                  <c:v>783.937</c:v>
                </c:pt>
                <c:pt idx="1">
                  <c:v>900</c:v>
                </c:pt>
                <c:pt idx="2">
                  <c:v>0</c:v>
                </c:pt>
                <c:pt idx="3">
                  <c:v>0</c:v>
                </c:pt>
                <c:pt idx="4">
                  <c:v>0</c:v>
                </c:pt>
                <c:pt idx="5">
                  <c:v>0</c:v>
                </c:pt>
              </c:numCache>
            </c:numRef>
          </c:val>
        </c:ser>
        <c:axId val="56356994"/>
        <c:axId val="37450899"/>
      </c:barChart>
      <c:catAx>
        <c:axId val="563569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450899"/>
        <c:crosses val="autoZero"/>
        <c:auto val="1"/>
        <c:lblOffset val="100"/>
        <c:tickLblSkip val="1"/>
        <c:noMultiLvlLbl val="0"/>
      </c:catAx>
      <c:valAx>
        <c:axId val="3745089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3569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475"/>
        </c:manualLayout>
      </c:layout>
      <c:spPr>
        <a:noFill/>
        <a:ln>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355"/>
          <c:y val="0.23425"/>
          <c:w val="0.92625"/>
          <c:h val="0.70825"/>
        </c:manualLayout>
      </c:layout>
      <c:barChart>
        <c:barDir val="col"/>
        <c:grouping val="clustered"/>
        <c:varyColors val="0"/>
        <c:ser>
          <c:idx val="0"/>
          <c:order val="0"/>
          <c:tx>
            <c:v>Indkomst ægtefælle</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Årsbudget!$D$19:$I$19</c:f>
              <c:numCache>
                <c:ptCount val="6"/>
                <c:pt idx="0">
                  <c:v>254</c:v>
                </c:pt>
                <c:pt idx="1">
                  <c:v>257</c:v>
                </c:pt>
                <c:pt idx="2">
                  <c:v>0</c:v>
                </c:pt>
                <c:pt idx="3">
                  <c:v>0</c:v>
                </c:pt>
                <c:pt idx="4">
                  <c:v>0</c:v>
                </c:pt>
                <c:pt idx="5">
                  <c:v>0</c:v>
                </c:pt>
              </c:numCache>
            </c:numRef>
          </c:val>
        </c:ser>
        <c:axId val="1513772"/>
        <c:axId val="13623949"/>
      </c:barChart>
      <c:catAx>
        <c:axId val="15137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13623949"/>
        <c:crosses val="autoZero"/>
        <c:auto val="1"/>
        <c:lblOffset val="100"/>
        <c:tickLblSkip val="1"/>
        <c:noMultiLvlLbl val="0"/>
      </c:catAx>
      <c:valAx>
        <c:axId val="136239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1" i="0" u="none" baseline="0">
                <a:solidFill>
                  <a:srgbClr val="000000"/>
                </a:solidFill>
                <a:latin typeface="Arial"/>
                <a:ea typeface="Arial"/>
                <a:cs typeface="Arial"/>
              </a:defRPr>
            </a:pPr>
          </a:p>
        </c:txPr>
        <c:crossAx val="15137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05"/>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06075"/>
          <c:y val="0.24575"/>
          <c:w val="0.90275"/>
          <c:h val="0.6925"/>
        </c:manualLayout>
      </c:layout>
      <c:barChart>
        <c:barDir val="col"/>
        <c:grouping val="clustered"/>
        <c:varyColors val="0"/>
        <c:ser>
          <c:idx val="0"/>
          <c:order val="0"/>
          <c:tx>
            <c:v>Gældsprocent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Årsbudget!$D$144:$I$144</c:f>
              <c:numCache>
                <c:ptCount val="6"/>
                <c:pt idx="0">
                  <c:v>0.9518041381875928</c:v>
                </c:pt>
                <c:pt idx="1">
                  <c:v>0.9527448533998752</c:v>
                </c:pt>
                <c:pt idx="2">
                  <c:v>0</c:v>
                </c:pt>
                <c:pt idx="3">
                  <c:v>0</c:v>
                </c:pt>
                <c:pt idx="4">
                  <c:v>0</c:v>
                </c:pt>
              </c:numCache>
            </c:numRef>
          </c:val>
        </c:ser>
        <c:axId val="55506678"/>
        <c:axId val="29798055"/>
      </c:barChart>
      <c:catAx>
        <c:axId val="5550667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9798055"/>
        <c:crosses val="autoZero"/>
        <c:auto val="1"/>
        <c:lblOffset val="100"/>
        <c:tickLblSkip val="1"/>
        <c:noMultiLvlLbl val="0"/>
      </c:catAx>
      <c:valAx>
        <c:axId val="297980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5066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0425"/>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0145"/>
          <c:y val="0.2105"/>
          <c:w val="0.94775"/>
          <c:h val="0.73675"/>
        </c:manualLayout>
      </c:layout>
      <c:barChart>
        <c:barDir val="col"/>
        <c:grouping val="clustered"/>
        <c:varyColors val="0"/>
        <c:ser>
          <c:idx val="0"/>
          <c:order val="0"/>
          <c:tx>
            <c:v>DB diverse</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Årsbudget!$D$6:$I$6</c:f>
              <c:numCache>
                <c:ptCount val="6"/>
                <c:pt idx="0">
                  <c:v>0</c:v>
                </c:pt>
                <c:pt idx="1">
                  <c:v>5</c:v>
                </c:pt>
                <c:pt idx="2">
                  <c:v>0</c:v>
                </c:pt>
                <c:pt idx="3">
                  <c:v>0</c:v>
                </c:pt>
                <c:pt idx="4">
                  <c:v>0</c:v>
                </c:pt>
                <c:pt idx="5">
                  <c:v>0</c:v>
                </c:pt>
              </c:numCache>
            </c:numRef>
          </c:val>
        </c:ser>
        <c:axId val="66855904"/>
        <c:axId val="64832225"/>
      </c:barChart>
      <c:catAx>
        <c:axId val="668559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832225"/>
        <c:crosses val="autoZero"/>
        <c:auto val="1"/>
        <c:lblOffset val="100"/>
        <c:tickLblSkip val="1"/>
        <c:noMultiLvlLbl val="0"/>
      </c:catAx>
      <c:valAx>
        <c:axId val="648322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8559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475"/>
        </c:manualLayout>
      </c:layout>
      <c:spPr>
        <a:noFill/>
        <a:ln>
          <a:noFill/>
        </a:ln>
      </c:spPr>
      <c:txPr>
        <a:bodyPr vert="horz" rot="0"/>
        <a:lstStyle/>
        <a:p>
          <a:pPr>
            <a:defRPr lang="en-US" cap="none" sz="950" b="1" i="0" u="none" baseline="0">
              <a:solidFill>
                <a:srgbClr val="000000"/>
              </a:solidFill>
              <a:latin typeface="Arial"/>
              <a:ea typeface="Arial"/>
              <a:cs typeface="Arial"/>
            </a:defRPr>
          </a:pPr>
        </a:p>
      </c:txPr>
    </c:title>
    <c:plotArea>
      <c:layout>
        <c:manualLayout>
          <c:xMode val="edge"/>
          <c:yMode val="edge"/>
          <c:x val="-0.008"/>
          <c:y val="0.26525"/>
          <c:w val="0.96775"/>
          <c:h val="0.678"/>
        </c:manualLayout>
      </c:layout>
      <c:barChart>
        <c:barDir val="col"/>
        <c:grouping val="clustered"/>
        <c:varyColors val="0"/>
        <c:ser>
          <c:idx val="0"/>
          <c:order val="0"/>
          <c:tx>
            <c:v>Andre indtægter</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Årsbudget!$D$14:$I$14</c:f>
              <c:numCache>
                <c:ptCount val="6"/>
                <c:pt idx="0">
                  <c:v>0</c:v>
                </c:pt>
                <c:pt idx="1">
                  <c:v>7</c:v>
                </c:pt>
                <c:pt idx="2">
                  <c:v>0</c:v>
                </c:pt>
                <c:pt idx="3">
                  <c:v>0</c:v>
                </c:pt>
                <c:pt idx="4">
                  <c:v>0</c:v>
                </c:pt>
                <c:pt idx="5">
                  <c:v>0</c:v>
                </c:pt>
              </c:numCache>
            </c:numRef>
          </c:val>
        </c:ser>
        <c:axId val="46619114"/>
        <c:axId val="16918843"/>
      </c:barChart>
      <c:catAx>
        <c:axId val="466191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6918843"/>
        <c:crosses val="autoZero"/>
        <c:auto val="1"/>
        <c:lblOffset val="100"/>
        <c:tickLblSkip val="1"/>
        <c:noMultiLvlLbl val="0"/>
      </c:catAx>
      <c:valAx>
        <c:axId val="169188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66191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25"/>
          <c:y val="-0.00475"/>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0045"/>
          <c:y val="0.224"/>
          <c:w val="0.95525"/>
          <c:h val="0.60975"/>
        </c:manualLayout>
      </c:layout>
      <c:barChart>
        <c:barDir val="col"/>
        <c:grouping val="clustered"/>
        <c:varyColors val="0"/>
        <c:ser>
          <c:idx val="0"/>
          <c:order val="0"/>
          <c:tx>
            <c:v>Nettoresultat virksomhed</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Årsbudget!$D$3:$I$3</c:f>
              <c:numCache>
                <c:ptCount val="6"/>
                <c:pt idx="0">
                  <c:v>2011</c:v>
                </c:pt>
                <c:pt idx="1">
                  <c:v>2010</c:v>
                </c:pt>
                <c:pt idx="2">
                  <c:v>2009</c:v>
                </c:pt>
                <c:pt idx="3">
                  <c:v>2008</c:v>
                </c:pt>
                <c:pt idx="4">
                  <c:v>2007</c:v>
                </c:pt>
                <c:pt idx="5">
                  <c:v>2006</c:v>
                </c:pt>
              </c:numCache>
            </c:numRef>
          </c:cat>
          <c:val>
            <c:numRef>
              <c:f>Årsbudget!$D$17:$I$17</c:f>
              <c:numCache>
                <c:ptCount val="6"/>
                <c:pt idx="0">
                  <c:v>131.81550761003615</c:v>
                </c:pt>
                <c:pt idx="1">
                  <c:v>94</c:v>
                </c:pt>
                <c:pt idx="2">
                  <c:v>0</c:v>
                </c:pt>
                <c:pt idx="3">
                  <c:v>0</c:v>
                </c:pt>
                <c:pt idx="4">
                  <c:v>0</c:v>
                </c:pt>
                <c:pt idx="5">
                  <c:v>0</c:v>
                </c:pt>
              </c:numCache>
            </c:numRef>
          </c:val>
        </c:ser>
        <c:axId val="18051860"/>
        <c:axId val="28249013"/>
      </c:barChart>
      <c:catAx>
        <c:axId val="180518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249013"/>
        <c:crosses val="autoZero"/>
        <c:auto val="1"/>
        <c:lblOffset val="100"/>
        <c:tickLblSkip val="1"/>
        <c:noMultiLvlLbl val="0"/>
      </c:catAx>
      <c:valAx>
        <c:axId val="282490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0518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 Id="rId10" Type="http://schemas.openxmlformats.org/officeDocument/2006/relationships/chart" Target="/xl/charts/chart12.xml" /><Relationship Id="rId11" Type="http://schemas.openxmlformats.org/officeDocument/2006/relationships/chart" Target="/xl/charts/chart13.xml" /><Relationship Id="rId12" Type="http://schemas.openxmlformats.org/officeDocument/2006/relationships/chart" Target="/xl/charts/chart14.xml" /><Relationship Id="rId13" Type="http://schemas.openxmlformats.org/officeDocument/2006/relationships/chart" Target="/xl/charts/chart15.xml" /><Relationship Id="rId14" Type="http://schemas.openxmlformats.org/officeDocument/2006/relationships/chart" Target="/xl/charts/chart16.xml" /><Relationship Id="rId15" Type="http://schemas.openxmlformats.org/officeDocument/2006/relationships/chart" Target="/xl/charts/chart17.xml" /><Relationship Id="rId16"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45</xdr:row>
      <xdr:rowOff>57150</xdr:rowOff>
    </xdr:from>
    <xdr:to>
      <xdr:col>4</xdr:col>
      <xdr:colOff>257175</xdr:colOff>
      <xdr:row>53</xdr:row>
      <xdr:rowOff>57150</xdr:rowOff>
    </xdr:to>
    <xdr:graphicFrame>
      <xdr:nvGraphicFramePr>
        <xdr:cNvPr id="1" name="Chart 1"/>
        <xdr:cNvGraphicFramePr/>
      </xdr:nvGraphicFramePr>
      <xdr:xfrm>
        <a:off x="161925" y="7343775"/>
        <a:ext cx="2447925" cy="129540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45</xdr:row>
      <xdr:rowOff>47625</xdr:rowOff>
    </xdr:from>
    <xdr:to>
      <xdr:col>10</xdr:col>
      <xdr:colOff>0</xdr:colOff>
      <xdr:row>53</xdr:row>
      <xdr:rowOff>28575</xdr:rowOff>
    </xdr:to>
    <xdr:graphicFrame>
      <xdr:nvGraphicFramePr>
        <xdr:cNvPr id="2" name="Chart 2"/>
        <xdr:cNvGraphicFramePr/>
      </xdr:nvGraphicFramePr>
      <xdr:xfrm>
        <a:off x="2924175" y="7334250"/>
        <a:ext cx="2676525" cy="12763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xdr:row>
      <xdr:rowOff>0</xdr:rowOff>
    </xdr:from>
    <xdr:to>
      <xdr:col>5</xdr:col>
      <xdr:colOff>38100</xdr:colOff>
      <xdr:row>12</xdr:row>
      <xdr:rowOff>57150</xdr:rowOff>
    </xdr:to>
    <xdr:graphicFrame>
      <xdr:nvGraphicFramePr>
        <xdr:cNvPr id="1" name="Chart 82"/>
        <xdr:cNvGraphicFramePr/>
      </xdr:nvGraphicFramePr>
      <xdr:xfrm>
        <a:off x="219075" y="323850"/>
        <a:ext cx="2657475" cy="1676400"/>
      </xdr:xfrm>
      <a:graphic>
        <a:graphicData uri="http://schemas.openxmlformats.org/drawingml/2006/chart">
          <c:chart xmlns:c="http://schemas.openxmlformats.org/drawingml/2006/chart" r:id="rId1"/>
        </a:graphicData>
      </a:graphic>
    </xdr:graphicFrame>
    <xdr:clientData/>
  </xdr:twoCellAnchor>
  <xdr:twoCellAnchor>
    <xdr:from>
      <xdr:col>5</xdr:col>
      <xdr:colOff>180975</xdr:colOff>
      <xdr:row>2</xdr:row>
      <xdr:rowOff>9525</xdr:rowOff>
    </xdr:from>
    <xdr:to>
      <xdr:col>9</xdr:col>
      <xdr:colOff>600075</xdr:colOff>
      <xdr:row>12</xdr:row>
      <xdr:rowOff>57150</xdr:rowOff>
    </xdr:to>
    <xdr:graphicFrame>
      <xdr:nvGraphicFramePr>
        <xdr:cNvPr id="2" name="Chart 83"/>
        <xdr:cNvGraphicFramePr/>
      </xdr:nvGraphicFramePr>
      <xdr:xfrm>
        <a:off x="3019425" y="333375"/>
        <a:ext cx="2457450" cy="1666875"/>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72</xdr:row>
      <xdr:rowOff>152400</xdr:rowOff>
    </xdr:from>
    <xdr:to>
      <xdr:col>5</xdr:col>
      <xdr:colOff>28575</xdr:colOff>
      <xdr:row>83</xdr:row>
      <xdr:rowOff>19050</xdr:rowOff>
    </xdr:to>
    <xdr:graphicFrame>
      <xdr:nvGraphicFramePr>
        <xdr:cNvPr id="3" name="Chart 92"/>
        <xdr:cNvGraphicFramePr/>
      </xdr:nvGraphicFramePr>
      <xdr:xfrm>
        <a:off x="228600" y="11811000"/>
        <a:ext cx="2638425" cy="1647825"/>
      </xdr:xfrm>
      <a:graphic>
        <a:graphicData uri="http://schemas.openxmlformats.org/drawingml/2006/chart">
          <c:chart xmlns:c="http://schemas.openxmlformats.org/drawingml/2006/chart" r:id="rId3"/>
        </a:graphicData>
      </a:graphic>
    </xdr:graphicFrame>
    <xdr:clientData/>
  </xdr:twoCellAnchor>
  <xdr:twoCellAnchor>
    <xdr:from>
      <xdr:col>0</xdr:col>
      <xdr:colOff>228600</xdr:colOff>
      <xdr:row>62</xdr:row>
      <xdr:rowOff>47625</xdr:rowOff>
    </xdr:from>
    <xdr:to>
      <xdr:col>5</xdr:col>
      <xdr:colOff>28575</xdr:colOff>
      <xdr:row>71</xdr:row>
      <xdr:rowOff>123825</xdr:rowOff>
    </xdr:to>
    <xdr:graphicFrame>
      <xdr:nvGraphicFramePr>
        <xdr:cNvPr id="4" name="Chart 100"/>
        <xdr:cNvGraphicFramePr/>
      </xdr:nvGraphicFramePr>
      <xdr:xfrm>
        <a:off x="228600" y="10086975"/>
        <a:ext cx="2638425" cy="153352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13</xdr:row>
      <xdr:rowOff>9525</xdr:rowOff>
    </xdr:from>
    <xdr:to>
      <xdr:col>5</xdr:col>
      <xdr:colOff>57150</xdr:colOff>
      <xdr:row>24</xdr:row>
      <xdr:rowOff>28575</xdr:rowOff>
    </xdr:to>
    <xdr:graphicFrame>
      <xdr:nvGraphicFramePr>
        <xdr:cNvPr id="5" name="Chart 103"/>
        <xdr:cNvGraphicFramePr/>
      </xdr:nvGraphicFramePr>
      <xdr:xfrm>
        <a:off x="209550" y="2114550"/>
        <a:ext cx="2686050" cy="1800225"/>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36</xdr:row>
      <xdr:rowOff>0</xdr:rowOff>
    </xdr:from>
    <xdr:to>
      <xdr:col>10</xdr:col>
      <xdr:colOff>28575</xdr:colOff>
      <xdr:row>46</xdr:row>
      <xdr:rowOff>47625</xdr:rowOff>
    </xdr:to>
    <xdr:graphicFrame>
      <xdr:nvGraphicFramePr>
        <xdr:cNvPr id="6" name="Chart 107"/>
        <xdr:cNvGraphicFramePr/>
      </xdr:nvGraphicFramePr>
      <xdr:xfrm>
        <a:off x="3048000" y="5829300"/>
        <a:ext cx="2466975" cy="1666875"/>
      </xdr:xfrm>
      <a:graphic>
        <a:graphicData uri="http://schemas.openxmlformats.org/drawingml/2006/chart">
          <c:chart xmlns:c="http://schemas.openxmlformats.org/drawingml/2006/chart" r:id="rId6"/>
        </a:graphicData>
      </a:graphic>
    </xdr:graphicFrame>
    <xdr:clientData/>
  </xdr:twoCellAnchor>
  <xdr:twoCellAnchor>
    <xdr:from>
      <xdr:col>6</xdr:col>
      <xdr:colOff>0</xdr:colOff>
      <xdr:row>51</xdr:row>
      <xdr:rowOff>0</xdr:rowOff>
    </xdr:from>
    <xdr:to>
      <xdr:col>10</xdr:col>
      <xdr:colOff>19050</xdr:colOff>
      <xdr:row>61</xdr:row>
      <xdr:rowOff>9525</xdr:rowOff>
    </xdr:to>
    <xdr:graphicFrame>
      <xdr:nvGraphicFramePr>
        <xdr:cNvPr id="7" name="Chart 108"/>
        <xdr:cNvGraphicFramePr/>
      </xdr:nvGraphicFramePr>
      <xdr:xfrm>
        <a:off x="3048000" y="8258175"/>
        <a:ext cx="2457450" cy="16287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62</xdr:row>
      <xdr:rowOff>28575</xdr:rowOff>
    </xdr:from>
    <xdr:to>
      <xdr:col>10</xdr:col>
      <xdr:colOff>28575</xdr:colOff>
      <xdr:row>71</xdr:row>
      <xdr:rowOff>114300</xdr:rowOff>
    </xdr:to>
    <xdr:graphicFrame>
      <xdr:nvGraphicFramePr>
        <xdr:cNvPr id="8" name="Chart 109"/>
        <xdr:cNvGraphicFramePr/>
      </xdr:nvGraphicFramePr>
      <xdr:xfrm>
        <a:off x="3048000" y="10067925"/>
        <a:ext cx="2466975" cy="1543050"/>
      </xdr:xfrm>
      <a:graphic>
        <a:graphicData uri="http://schemas.openxmlformats.org/drawingml/2006/chart">
          <c:chart xmlns:c="http://schemas.openxmlformats.org/drawingml/2006/chart" r:id="rId8"/>
        </a:graphicData>
      </a:graphic>
    </xdr:graphicFrame>
    <xdr:clientData/>
  </xdr:twoCellAnchor>
  <xdr:twoCellAnchor>
    <xdr:from>
      <xdr:col>6</xdr:col>
      <xdr:colOff>0</xdr:colOff>
      <xdr:row>73</xdr:row>
      <xdr:rowOff>0</xdr:rowOff>
    </xdr:from>
    <xdr:to>
      <xdr:col>10</xdr:col>
      <xdr:colOff>28575</xdr:colOff>
      <xdr:row>83</xdr:row>
      <xdr:rowOff>19050</xdr:rowOff>
    </xdr:to>
    <xdr:graphicFrame>
      <xdr:nvGraphicFramePr>
        <xdr:cNvPr id="9" name="Chart 110"/>
        <xdr:cNvGraphicFramePr/>
      </xdr:nvGraphicFramePr>
      <xdr:xfrm>
        <a:off x="3048000" y="11820525"/>
        <a:ext cx="2466975" cy="1638300"/>
      </xdr:xfrm>
      <a:graphic>
        <a:graphicData uri="http://schemas.openxmlformats.org/drawingml/2006/chart">
          <c:chart xmlns:c="http://schemas.openxmlformats.org/drawingml/2006/chart" r:id="rId9"/>
        </a:graphicData>
      </a:graphic>
    </xdr:graphicFrame>
    <xdr:clientData/>
  </xdr:twoCellAnchor>
  <xdr:twoCellAnchor>
    <xdr:from>
      <xdr:col>0</xdr:col>
      <xdr:colOff>180975</xdr:colOff>
      <xdr:row>25</xdr:row>
      <xdr:rowOff>28575</xdr:rowOff>
    </xdr:from>
    <xdr:to>
      <xdr:col>5</xdr:col>
      <xdr:colOff>28575</xdr:colOff>
      <xdr:row>35</xdr:row>
      <xdr:rowOff>19050</xdr:rowOff>
    </xdr:to>
    <xdr:graphicFrame>
      <xdr:nvGraphicFramePr>
        <xdr:cNvPr id="10" name="Chart 112"/>
        <xdr:cNvGraphicFramePr/>
      </xdr:nvGraphicFramePr>
      <xdr:xfrm>
        <a:off x="180975" y="4076700"/>
        <a:ext cx="2686050" cy="1609725"/>
      </xdr:xfrm>
      <a:graphic>
        <a:graphicData uri="http://schemas.openxmlformats.org/drawingml/2006/chart">
          <c:chart xmlns:c="http://schemas.openxmlformats.org/drawingml/2006/chart" r:id="rId10"/>
        </a:graphicData>
      </a:graphic>
    </xdr:graphicFrame>
    <xdr:clientData/>
  </xdr:twoCellAnchor>
  <xdr:twoCellAnchor>
    <xdr:from>
      <xdr:col>5</xdr:col>
      <xdr:colOff>190500</xdr:colOff>
      <xdr:row>25</xdr:row>
      <xdr:rowOff>38100</xdr:rowOff>
    </xdr:from>
    <xdr:to>
      <xdr:col>10</xdr:col>
      <xdr:colOff>0</xdr:colOff>
      <xdr:row>35</xdr:row>
      <xdr:rowOff>19050</xdr:rowOff>
    </xdr:to>
    <xdr:graphicFrame>
      <xdr:nvGraphicFramePr>
        <xdr:cNvPr id="11" name="Chart 113"/>
        <xdr:cNvGraphicFramePr/>
      </xdr:nvGraphicFramePr>
      <xdr:xfrm>
        <a:off x="3028950" y="4086225"/>
        <a:ext cx="2457450" cy="1600200"/>
      </xdr:xfrm>
      <a:graphic>
        <a:graphicData uri="http://schemas.openxmlformats.org/drawingml/2006/chart">
          <c:chart xmlns:c="http://schemas.openxmlformats.org/drawingml/2006/chart" r:id="rId11"/>
        </a:graphicData>
      </a:graphic>
    </xdr:graphicFrame>
    <xdr:clientData/>
  </xdr:twoCellAnchor>
  <xdr:twoCellAnchor>
    <xdr:from>
      <xdr:col>0</xdr:col>
      <xdr:colOff>180975</xdr:colOff>
      <xdr:row>36</xdr:row>
      <xdr:rowOff>19050</xdr:rowOff>
    </xdr:from>
    <xdr:to>
      <xdr:col>5</xdr:col>
      <xdr:colOff>38100</xdr:colOff>
      <xdr:row>46</xdr:row>
      <xdr:rowOff>57150</xdr:rowOff>
    </xdr:to>
    <xdr:graphicFrame>
      <xdr:nvGraphicFramePr>
        <xdr:cNvPr id="12" name="Chart 114"/>
        <xdr:cNvGraphicFramePr/>
      </xdr:nvGraphicFramePr>
      <xdr:xfrm>
        <a:off x="180975" y="5848350"/>
        <a:ext cx="2695575" cy="1657350"/>
      </xdr:xfrm>
      <a:graphic>
        <a:graphicData uri="http://schemas.openxmlformats.org/drawingml/2006/chart">
          <c:chart xmlns:c="http://schemas.openxmlformats.org/drawingml/2006/chart" r:id="rId12"/>
        </a:graphicData>
      </a:graphic>
    </xdr:graphicFrame>
    <xdr:clientData/>
  </xdr:twoCellAnchor>
  <xdr:twoCellAnchor>
    <xdr:from>
      <xdr:col>0</xdr:col>
      <xdr:colOff>219075</xdr:colOff>
      <xdr:row>51</xdr:row>
      <xdr:rowOff>0</xdr:rowOff>
    </xdr:from>
    <xdr:to>
      <xdr:col>5</xdr:col>
      <xdr:colOff>28575</xdr:colOff>
      <xdr:row>61</xdr:row>
      <xdr:rowOff>0</xdr:rowOff>
    </xdr:to>
    <xdr:graphicFrame>
      <xdr:nvGraphicFramePr>
        <xdr:cNvPr id="13" name="Chart 115"/>
        <xdr:cNvGraphicFramePr/>
      </xdr:nvGraphicFramePr>
      <xdr:xfrm>
        <a:off x="219075" y="8258175"/>
        <a:ext cx="2647950" cy="1619250"/>
      </xdr:xfrm>
      <a:graphic>
        <a:graphicData uri="http://schemas.openxmlformats.org/drawingml/2006/chart">
          <c:chart xmlns:c="http://schemas.openxmlformats.org/drawingml/2006/chart" r:id="rId13"/>
        </a:graphicData>
      </a:graphic>
    </xdr:graphicFrame>
    <xdr:clientData/>
  </xdr:twoCellAnchor>
  <xdr:twoCellAnchor>
    <xdr:from>
      <xdr:col>0</xdr:col>
      <xdr:colOff>228600</xdr:colOff>
      <xdr:row>84</xdr:row>
      <xdr:rowOff>0</xdr:rowOff>
    </xdr:from>
    <xdr:to>
      <xdr:col>5</xdr:col>
      <xdr:colOff>38100</xdr:colOff>
      <xdr:row>94</xdr:row>
      <xdr:rowOff>28575</xdr:rowOff>
    </xdr:to>
    <xdr:graphicFrame>
      <xdr:nvGraphicFramePr>
        <xdr:cNvPr id="14" name="Chart 116"/>
        <xdr:cNvGraphicFramePr/>
      </xdr:nvGraphicFramePr>
      <xdr:xfrm>
        <a:off x="228600" y="13601700"/>
        <a:ext cx="2647950" cy="1647825"/>
      </xdr:xfrm>
      <a:graphic>
        <a:graphicData uri="http://schemas.openxmlformats.org/drawingml/2006/chart">
          <c:chart xmlns:c="http://schemas.openxmlformats.org/drawingml/2006/chart" r:id="rId14"/>
        </a:graphicData>
      </a:graphic>
    </xdr:graphicFrame>
    <xdr:clientData/>
  </xdr:twoCellAnchor>
  <xdr:twoCellAnchor>
    <xdr:from>
      <xdr:col>6</xdr:col>
      <xdr:colOff>19050</xdr:colOff>
      <xdr:row>84</xdr:row>
      <xdr:rowOff>0</xdr:rowOff>
    </xdr:from>
    <xdr:to>
      <xdr:col>10</xdr:col>
      <xdr:colOff>47625</xdr:colOff>
      <xdr:row>94</xdr:row>
      <xdr:rowOff>9525</xdr:rowOff>
    </xdr:to>
    <xdr:graphicFrame>
      <xdr:nvGraphicFramePr>
        <xdr:cNvPr id="15" name="Chart 117"/>
        <xdr:cNvGraphicFramePr/>
      </xdr:nvGraphicFramePr>
      <xdr:xfrm>
        <a:off x="3067050" y="13601700"/>
        <a:ext cx="2466975" cy="1628775"/>
      </xdr:xfrm>
      <a:graphic>
        <a:graphicData uri="http://schemas.openxmlformats.org/drawingml/2006/chart">
          <c:chart xmlns:c="http://schemas.openxmlformats.org/drawingml/2006/chart" r:id="rId15"/>
        </a:graphicData>
      </a:graphic>
    </xdr:graphicFrame>
    <xdr:clientData/>
  </xdr:twoCellAnchor>
  <xdr:twoCellAnchor>
    <xdr:from>
      <xdr:col>5</xdr:col>
      <xdr:colOff>180975</xdr:colOff>
      <xdr:row>13</xdr:row>
      <xdr:rowOff>28575</xdr:rowOff>
    </xdr:from>
    <xdr:to>
      <xdr:col>10</xdr:col>
      <xdr:colOff>9525</xdr:colOff>
      <xdr:row>24</xdr:row>
      <xdr:rowOff>38100</xdr:rowOff>
    </xdr:to>
    <xdr:graphicFrame>
      <xdr:nvGraphicFramePr>
        <xdr:cNvPr id="16" name="Chart 119"/>
        <xdr:cNvGraphicFramePr/>
      </xdr:nvGraphicFramePr>
      <xdr:xfrm>
        <a:off x="3019425" y="2133600"/>
        <a:ext cx="2476500" cy="1790700"/>
      </xdr:xfrm>
      <a:graphic>
        <a:graphicData uri="http://schemas.openxmlformats.org/drawingml/2006/chart">
          <c:chart xmlns:c="http://schemas.openxmlformats.org/drawingml/2006/chart" r:id="rId1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resten\Documents\agrogruppen\Bedriftsstyring-Malkek&#248;er-g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BF"/>
      <sheetName val="Udv"/>
      <sheetName val="FS"/>
      <sheetName val="Føls."/>
      <sheetName val="Grafer"/>
      <sheetName val="Mark"/>
      <sheetName val="Svin"/>
      <sheetName val="Kvæg"/>
      <sheetName val="Mink"/>
      <sheetName val="PM"/>
      <sheetName val="PSK"/>
      <sheetName val="PsM"/>
      <sheetName val="PS"/>
      <sheetName val="Div."/>
      <sheetName val="DIV.b"/>
      <sheetName val="DE"/>
      <sheetName val="Uds"/>
      <sheetName val="BK"/>
      <sheetName val="M"/>
      <sheetName val="12budet"/>
    </sheetNames>
  </externalBook>
</externalLink>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grogruppen.dk/" TargetMode="External" /><Relationship Id="rId2" Type="http://schemas.openxmlformats.org/officeDocument/2006/relationships/hyperlink" Target="mailto:info@danmarkdirekte.dk"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grogruppen.dk/"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99"/>
  <sheetViews>
    <sheetView zoomScalePageLayoutView="0" workbookViewId="0" topLeftCell="A1">
      <selection activeCell="C7" sqref="C7"/>
    </sheetView>
  </sheetViews>
  <sheetFormatPr defaultColWidth="9.140625" defaultRowHeight="12.75"/>
  <cols>
    <col min="1" max="1" width="78.28125" style="0" customWidth="1"/>
    <col min="2" max="2" width="5.00390625" style="0" customWidth="1"/>
  </cols>
  <sheetData>
    <row r="1" ht="12.75">
      <c r="A1" s="410" t="s">
        <v>403</v>
      </c>
    </row>
    <row r="2" ht="12.75">
      <c r="A2" s="410" t="s">
        <v>404</v>
      </c>
    </row>
    <row r="3" ht="12.75">
      <c r="A3" s="477"/>
    </row>
    <row r="4" ht="12.75">
      <c r="A4" s="410"/>
    </row>
    <row r="5" ht="12.75">
      <c r="A5" s="410" t="s">
        <v>405</v>
      </c>
    </row>
    <row r="6" ht="12.75">
      <c r="A6" s="552" t="s">
        <v>421</v>
      </c>
    </row>
    <row r="7" ht="12.75">
      <c r="A7" s="552" t="s">
        <v>406</v>
      </c>
    </row>
    <row r="8" ht="12.75">
      <c r="A8" s="456"/>
    </row>
    <row r="9" ht="12.75">
      <c r="A9" s="456"/>
    </row>
    <row r="10" ht="12.75">
      <c r="A10" s="410" t="s">
        <v>407</v>
      </c>
    </row>
    <row r="11" ht="12.75">
      <c r="A11" s="410"/>
    </row>
    <row r="12" spans="1:3" ht="12.75">
      <c r="A12" s="563" t="s">
        <v>258</v>
      </c>
      <c r="B12" s="563"/>
      <c r="C12" s="563"/>
    </row>
    <row r="13" ht="12.75">
      <c r="A13" s="456"/>
    </row>
    <row r="14" ht="12.75">
      <c r="A14" s="456"/>
    </row>
    <row r="15" ht="12.75">
      <c r="A15" s="562" t="s">
        <v>417</v>
      </c>
    </row>
    <row r="16" ht="12.75">
      <c r="A16" s="552" t="s">
        <v>419</v>
      </c>
    </row>
    <row r="17" ht="12.75">
      <c r="A17" s="223" t="s">
        <v>418</v>
      </c>
    </row>
    <row r="18" ht="12.75">
      <c r="A18" s="552" t="s">
        <v>420</v>
      </c>
    </row>
    <row r="19" ht="12.75">
      <c r="A19" s="456"/>
    </row>
    <row r="20" ht="12.75">
      <c r="A20" s="4"/>
    </row>
    <row r="21" ht="12.75">
      <c r="A21" s="4"/>
    </row>
    <row r="22" ht="12.75">
      <c r="A22" s="410"/>
    </row>
    <row r="23" ht="12.75">
      <c r="A23" s="478"/>
    </row>
    <row r="24" ht="12.75">
      <c r="A24" s="410"/>
    </row>
    <row r="25" ht="12.75">
      <c r="A25" s="478"/>
    </row>
    <row r="26" ht="12.75">
      <c r="A26" s="456"/>
    </row>
    <row r="27" ht="12.75">
      <c r="A27" s="478"/>
    </row>
    <row r="28" ht="12.75">
      <c r="A28" s="456"/>
    </row>
    <row r="29" ht="12.75">
      <c r="A29" s="410"/>
    </row>
    <row r="30" ht="12.75">
      <c r="A30" s="4"/>
    </row>
    <row r="31" ht="12.75">
      <c r="A31" s="4"/>
    </row>
    <row r="32" ht="12.75">
      <c r="A32" s="4"/>
    </row>
    <row r="33" ht="12.75">
      <c r="A33" s="458"/>
    </row>
    <row r="34" ht="12.75">
      <c r="A34" s="447"/>
    </row>
    <row r="35" ht="12.75">
      <c r="A35" s="447"/>
    </row>
    <row r="36" ht="12.75">
      <c r="A36" s="33"/>
    </row>
    <row r="37" spans="1:2" ht="12.75">
      <c r="A37" s="447"/>
      <c r="B37" s="324"/>
    </row>
    <row r="38" spans="1:2" ht="12.75">
      <c r="A38" s="4"/>
      <c r="B38" s="324"/>
    </row>
    <row r="39" spans="1:2" ht="12.75">
      <c r="A39" s="4"/>
      <c r="B39" s="389"/>
    </row>
    <row r="40" spans="1:2" ht="15.75">
      <c r="A40" s="409"/>
      <c r="B40" s="389"/>
    </row>
    <row r="41" spans="1:2" ht="12.75">
      <c r="A41" s="4"/>
      <c r="B41" s="324"/>
    </row>
    <row r="42" spans="1:2" ht="12.75">
      <c r="A42" s="408"/>
      <c r="B42" s="324"/>
    </row>
    <row r="43" spans="1:2" ht="12.75">
      <c r="A43" s="4"/>
      <c r="B43" s="324"/>
    </row>
    <row r="44" ht="12.75">
      <c r="B44" s="324"/>
    </row>
    <row r="45" spans="1:2" ht="12.75">
      <c r="A45" s="3"/>
      <c r="B45" s="324"/>
    </row>
    <row r="48" ht="12.75">
      <c r="B48" s="324"/>
    </row>
    <row r="50" ht="12.75"/>
    <row r="52" ht="12.75">
      <c r="A52" s="1" t="s">
        <v>300</v>
      </c>
    </row>
    <row r="54" ht="12.75">
      <c r="A54" t="s">
        <v>301</v>
      </c>
    </row>
    <row r="56" ht="12.75">
      <c r="A56" t="s">
        <v>302</v>
      </c>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10"/>
    </row>
    <row r="68" ht="12.75">
      <c r="A68" s="4"/>
    </row>
    <row r="69" ht="12.75">
      <c r="A69" s="4"/>
    </row>
    <row r="71" ht="12.75">
      <c r="A71" s="4"/>
    </row>
    <row r="72" ht="12.75">
      <c r="A72" s="4"/>
    </row>
    <row r="73" ht="12.75">
      <c r="A73" s="4"/>
    </row>
    <row r="74" spans="1:5" ht="12.75">
      <c r="A74" s="4"/>
      <c r="E74" s="4"/>
    </row>
    <row r="75" ht="12.75">
      <c r="A75" s="4"/>
    </row>
    <row r="76" ht="12.75">
      <c r="A76" s="4"/>
    </row>
    <row r="77" ht="12.75">
      <c r="A77" s="4"/>
    </row>
    <row r="78" ht="12.75">
      <c r="A78" s="4"/>
    </row>
    <row r="82" ht="12.75">
      <c r="A82" s="4"/>
    </row>
    <row r="83" ht="12.75">
      <c r="A83" s="4"/>
    </row>
    <row r="86" ht="12.75">
      <c r="A86" s="4"/>
    </row>
    <row r="87" ht="12.75">
      <c r="A87" s="4"/>
    </row>
    <row r="89" ht="12.75">
      <c r="A89" s="4"/>
    </row>
    <row r="91" ht="12.75">
      <c r="A91" s="4"/>
    </row>
    <row r="92" ht="12.75">
      <c r="A92" s="4"/>
    </row>
    <row r="93" ht="12.75">
      <c r="A93" s="4"/>
    </row>
    <row r="94" ht="12.75">
      <c r="A94" s="4"/>
    </row>
    <row r="95" ht="12.75">
      <c r="A95" s="4"/>
    </row>
    <row r="96" ht="12.75">
      <c r="A96" s="4"/>
    </row>
    <row r="97" ht="12.75">
      <c r="A97" s="4"/>
    </row>
    <row r="98" ht="12.75">
      <c r="A98" s="4"/>
    </row>
    <row r="99" ht="12.75">
      <c r="A99" s="4"/>
    </row>
  </sheetData>
  <sheetProtection password="C79E" sheet="1" selectLockedCells="1" selectUnlockedCells="1"/>
  <mergeCells count="1">
    <mergeCell ref="A12:C12"/>
  </mergeCells>
  <hyperlinks>
    <hyperlink ref="A12" r:id="rId1" display="http://www.agrogruppen.dk/"/>
    <hyperlink ref="A17" r:id="rId2" display="mailto:info@danmarkdirekte.dk"/>
  </hyperlinks>
  <printOptions/>
  <pageMargins left="0.75" right="0.75" top="1" bottom="1" header="0" footer="0"/>
  <pageSetup horizontalDpi="600" verticalDpi="600" orientation="portrait" paperSize="9" r:id="rId5"/>
  <rowBreaks count="1" manualBreakCount="1">
    <brk id="47" max="255" man="1"/>
  </rowBreaks>
  <legacyDrawing r:id="rId4"/>
</worksheet>
</file>

<file path=xl/worksheets/sheet10.xml><?xml version="1.0" encoding="utf-8"?>
<worksheet xmlns="http://schemas.openxmlformats.org/spreadsheetml/2006/main" xmlns:r="http://schemas.openxmlformats.org/officeDocument/2006/relationships">
  <dimension ref="A1:T140"/>
  <sheetViews>
    <sheetView showGridLines="0" zoomScalePageLayoutView="0" workbookViewId="0" topLeftCell="A1">
      <selection activeCell="M12" sqref="M12"/>
    </sheetView>
  </sheetViews>
  <sheetFormatPr defaultColWidth="9.140625" defaultRowHeight="12.75"/>
  <cols>
    <col min="1" max="1" width="5.00390625" style="0" customWidth="1"/>
    <col min="2" max="2" width="10.140625" style="0" bestFit="1" customWidth="1"/>
    <col min="6" max="6" width="3.140625" style="0" customWidth="1"/>
    <col min="11" max="12" width="4.00390625" style="0" customWidth="1"/>
  </cols>
  <sheetData>
    <row r="1" spans="10:19" ht="12.75">
      <c r="J1" s="391" t="s">
        <v>179</v>
      </c>
      <c r="K1">
        <f>Vejl!B44+1</f>
        <v>1</v>
      </c>
      <c r="M1" s="19"/>
      <c r="N1" s="19"/>
      <c r="O1" s="19"/>
      <c r="P1" s="19"/>
      <c r="Q1" s="19"/>
      <c r="R1" s="19"/>
      <c r="S1" s="19"/>
    </row>
    <row r="2" spans="1:20" ht="12.75">
      <c r="A2" s="321" t="s">
        <v>208</v>
      </c>
      <c r="B2" s="7"/>
      <c r="C2" s="7"/>
      <c r="D2" s="7"/>
      <c r="E2" s="7"/>
      <c r="F2" s="7"/>
      <c r="G2" s="7"/>
      <c r="H2" s="7"/>
      <c r="I2" s="7"/>
      <c r="J2" s="7"/>
      <c r="K2" s="7"/>
      <c r="M2" s="18">
        <f>Årsbudget!D9*-1</f>
        <v>300</v>
      </c>
      <c r="N2" s="18">
        <f>Årsbudget!E9*-1</f>
        <v>418</v>
      </c>
      <c r="O2" s="18">
        <f>Årsbudget!F9*-1</f>
        <v>0</v>
      </c>
      <c r="P2" s="18">
        <f>Årsbudget!G9*-1</f>
        <v>0</v>
      </c>
      <c r="Q2" s="18">
        <f>Årsbudget!H9*-1</f>
        <v>0</v>
      </c>
      <c r="R2" s="18">
        <f>Årsbudget!I9*-1</f>
        <v>0</v>
      </c>
      <c r="S2" s="18"/>
      <c r="T2" s="6"/>
    </row>
    <row r="3" spans="1:19" ht="12.75">
      <c r="A3" s="7"/>
      <c r="F3" s="7"/>
      <c r="K3" s="7"/>
      <c r="M3" s="19"/>
      <c r="N3" s="19"/>
      <c r="O3" s="19"/>
      <c r="P3" s="19"/>
      <c r="Q3" s="19"/>
      <c r="R3" s="19"/>
      <c r="S3" s="19"/>
    </row>
    <row r="4" spans="1:19" ht="12.75">
      <c r="A4" s="7"/>
      <c r="F4" s="7"/>
      <c r="K4" s="7"/>
      <c r="M4" s="19">
        <f>Årsbudget!D12*-1</f>
        <v>465</v>
      </c>
      <c r="N4" s="19">
        <f>Årsbudget!E12*-1</f>
        <v>435</v>
      </c>
      <c r="O4" s="19">
        <f>Årsbudget!F12*-1</f>
        <v>0</v>
      </c>
      <c r="P4" s="19">
        <f>Årsbudget!G12*-1</f>
        <v>0</v>
      </c>
      <c r="Q4" s="19">
        <f>Årsbudget!H12*-1</f>
        <v>0</v>
      </c>
      <c r="R4" s="19">
        <f>Årsbudget!I12*-1</f>
        <v>0</v>
      </c>
      <c r="S4" s="19"/>
    </row>
    <row r="5" spans="1:19" ht="12.75">
      <c r="A5" s="7"/>
      <c r="F5" s="7"/>
      <c r="K5" s="7"/>
      <c r="M5" s="19"/>
      <c r="N5" s="19"/>
      <c r="O5" s="19"/>
      <c r="P5" s="19"/>
      <c r="Q5" s="19"/>
      <c r="R5" s="19"/>
      <c r="S5" s="19"/>
    </row>
    <row r="6" spans="1:19" ht="12.75">
      <c r="A6" s="7"/>
      <c r="F6" s="7"/>
      <c r="K6" s="7"/>
      <c r="M6" s="426">
        <f>Årsbudget!D16*-1</f>
        <v>489.38879238996395</v>
      </c>
      <c r="N6" s="426">
        <f>Årsbudget!E16*-1</f>
        <v>516</v>
      </c>
      <c r="O6" s="426">
        <f>Årsbudget!F16*-1</f>
        <v>0</v>
      </c>
      <c r="P6" s="426">
        <f>Årsbudget!G16*-1</f>
        <v>0</v>
      </c>
      <c r="Q6" s="426">
        <f>Årsbudget!H16*-1</f>
        <v>0</v>
      </c>
      <c r="R6" s="426">
        <f>Årsbudget!I16*-1</f>
        <v>0</v>
      </c>
      <c r="S6" s="19"/>
    </row>
    <row r="7" spans="1:19" ht="12.75">
      <c r="A7" s="7"/>
      <c r="F7" s="7"/>
      <c r="K7" s="7"/>
      <c r="M7" s="19"/>
      <c r="N7" s="19"/>
      <c r="O7" s="19"/>
      <c r="P7" s="19"/>
      <c r="Q7" s="19"/>
      <c r="R7" s="19"/>
      <c r="S7" s="19"/>
    </row>
    <row r="8" spans="1:19" ht="12.75">
      <c r="A8" s="7"/>
      <c r="F8" s="7"/>
      <c r="K8" s="7"/>
      <c r="M8" s="18">
        <f>Årsbudget!D23*-1</f>
        <v>245</v>
      </c>
      <c r="N8" s="18">
        <f>Årsbudget!E23*-1</f>
        <v>277</v>
      </c>
      <c r="O8" s="18">
        <f>Årsbudget!F23*-1</f>
        <v>0</v>
      </c>
      <c r="P8" s="18">
        <f>Årsbudget!G23*-1</f>
        <v>0</v>
      </c>
      <c r="Q8" s="18">
        <f>Årsbudget!H23*-1</f>
        <v>0</v>
      </c>
      <c r="R8" s="18">
        <f>Årsbudget!I23*-1</f>
        <v>0</v>
      </c>
      <c r="S8" s="19"/>
    </row>
    <row r="9" spans="1:19" ht="12.75">
      <c r="A9" s="7"/>
      <c r="F9" s="7"/>
      <c r="K9" s="7"/>
      <c r="M9" s="19"/>
      <c r="N9" s="19"/>
      <c r="O9" s="19"/>
      <c r="P9" s="19"/>
      <c r="Q9" s="19"/>
      <c r="R9" s="19"/>
      <c r="S9" s="19"/>
    </row>
    <row r="10" spans="1:19" ht="12.75">
      <c r="A10" s="7"/>
      <c r="F10" s="7"/>
      <c r="K10" s="7"/>
      <c r="M10" s="426">
        <f>Årsbudget!D24*-1</f>
        <v>135.36697842451628</v>
      </c>
      <c r="N10" s="426">
        <f>Årsbudget!E24*-1</f>
        <v>32</v>
      </c>
      <c r="O10" s="426">
        <f>Årsbudget!F24*-1</f>
        <v>0</v>
      </c>
      <c r="P10" s="426">
        <f>Årsbudget!G24*-1</f>
        <v>0</v>
      </c>
      <c r="Q10" s="426">
        <f>Årsbudget!H24*-1</f>
        <v>0</v>
      </c>
      <c r="R10" s="426">
        <f>Årsbudget!I24*-1</f>
        <v>0</v>
      </c>
      <c r="S10" s="19"/>
    </row>
    <row r="11" spans="1:19" ht="12.75">
      <c r="A11" s="7"/>
      <c r="F11" s="7"/>
      <c r="K11" s="7"/>
      <c r="M11" s="19"/>
      <c r="N11" s="19"/>
      <c r="O11" s="19"/>
      <c r="P11" s="19"/>
      <c r="Q11" s="19"/>
      <c r="R11" s="19"/>
      <c r="S11" s="19"/>
    </row>
    <row r="12" spans="1:19" ht="12.75">
      <c r="A12" s="7"/>
      <c r="F12" s="7"/>
      <c r="K12" s="7"/>
      <c r="M12" s="19"/>
      <c r="N12" s="19"/>
      <c r="O12" s="19"/>
      <c r="P12" s="19"/>
      <c r="Q12" s="19"/>
      <c r="R12" s="19"/>
      <c r="S12" s="19"/>
    </row>
    <row r="13" spans="1:19" ht="12.75">
      <c r="A13" s="7"/>
      <c r="B13" s="7"/>
      <c r="C13" s="7"/>
      <c r="D13" s="7"/>
      <c r="E13" s="7"/>
      <c r="F13" s="7"/>
      <c r="G13" s="7"/>
      <c r="H13" s="7"/>
      <c r="I13" s="7"/>
      <c r="J13" s="7"/>
      <c r="K13" s="7"/>
      <c r="M13" s="19"/>
      <c r="N13" s="19"/>
      <c r="O13" s="19"/>
      <c r="P13" s="19"/>
      <c r="Q13" s="19"/>
      <c r="R13" s="19"/>
      <c r="S13" s="19"/>
    </row>
    <row r="14" spans="1:19" ht="12.75">
      <c r="A14" s="7"/>
      <c r="B14" s="7"/>
      <c r="C14" s="7"/>
      <c r="D14" s="7"/>
      <c r="E14" s="7"/>
      <c r="F14" s="7"/>
      <c r="G14" s="7"/>
      <c r="H14" s="7"/>
      <c r="I14" s="7"/>
      <c r="J14" s="7"/>
      <c r="K14" s="7"/>
      <c r="M14" s="19"/>
      <c r="N14" s="19"/>
      <c r="O14" s="19"/>
      <c r="P14" s="19"/>
      <c r="Q14" s="19"/>
      <c r="R14" s="19"/>
      <c r="S14" s="19"/>
    </row>
    <row r="15" spans="1:19" ht="12.75">
      <c r="A15" s="7"/>
      <c r="B15" s="7"/>
      <c r="C15" s="7"/>
      <c r="D15" s="7"/>
      <c r="E15" s="7"/>
      <c r="F15" s="7"/>
      <c r="G15" s="7"/>
      <c r="H15" s="7"/>
      <c r="I15" s="7"/>
      <c r="J15" s="7"/>
      <c r="K15" s="7"/>
      <c r="M15" s="19">
        <f>Årsbudget!D8*-1</f>
        <v>0</v>
      </c>
      <c r="N15" s="19">
        <f>Årsbudget!E8*-1</f>
        <v>4</v>
      </c>
      <c r="O15" s="19">
        <f>Årsbudget!F8*-1</f>
        <v>0</v>
      </c>
      <c r="P15" s="19">
        <f>Årsbudget!G8*-1</f>
        <v>0</v>
      </c>
      <c r="Q15" s="19">
        <f>Årsbudget!H8*-1</f>
        <v>0</v>
      </c>
      <c r="R15" s="19">
        <f>Årsbudget!I8*-1</f>
        <v>0</v>
      </c>
      <c r="S15" s="19"/>
    </row>
    <row r="16" spans="1:19" ht="12.75">
      <c r="A16" s="7"/>
      <c r="B16" s="7"/>
      <c r="C16" s="7"/>
      <c r="D16" s="7"/>
      <c r="E16" s="7"/>
      <c r="F16" s="7"/>
      <c r="G16" s="7"/>
      <c r="H16" s="7"/>
      <c r="I16" s="7"/>
      <c r="J16" s="7"/>
      <c r="K16" s="7"/>
      <c r="M16" s="19"/>
      <c r="N16" s="19"/>
      <c r="O16" s="19"/>
      <c r="P16" s="19"/>
      <c r="Q16" s="19"/>
      <c r="R16" s="19"/>
      <c r="S16" s="19"/>
    </row>
    <row r="17" spans="1:19" ht="12.75">
      <c r="A17" s="7"/>
      <c r="B17" s="7"/>
      <c r="C17" s="7"/>
      <c r="D17" s="7"/>
      <c r="E17" s="7"/>
      <c r="F17" s="7"/>
      <c r="G17" s="7"/>
      <c r="H17" s="7"/>
      <c r="I17" s="7"/>
      <c r="J17" s="7"/>
      <c r="K17" s="7"/>
      <c r="M17" s="19"/>
      <c r="N17" s="19"/>
      <c r="O17" s="19"/>
      <c r="P17" s="19"/>
      <c r="Q17" s="19"/>
      <c r="R17" s="19"/>
      <c r="S17" s="19"/>
    </row>
    <row r="18" spans="1:19" ht="12.75">
      <c r="A18" s="7"/>
      <c r="B18" s="7"/>
      <c r="C18" s="7"/>
      <c r="D18" s="7"/>
      <c r="E18" s="7"/>
      <c r="F18" s="7"/>
      <c r="G18" s="7"/>
      <c r="H18" s="7"/>
      <c r="I18" s="7"/>
      <c r="J18" s="7"/>
      <c r="K18" s="7"/>
      <c r="M18" s="19"/>
      <c r="N18" s="19"/>
      <c r="O18" s="19"/>
      <c r="P18" s="19"/>
      <c r="Q18" s="19"/>
      <c r="R18" s="19"/>
      <c r="S18" s="19"/>
    </row>
    <row r="19" spans="1:19" ht="12.75">
      <c r="A19" s="7"/>
      <c r="B19" s="7"/>
      <c r="C19" s="7"/>
      <c r="D19" s="7"/>
      <c r="E19" s="7"/>
      <c r="F19" s="7"/>
      <c r="G19" s="7"/>
      <c r="H19" s="7"/>
      <c r="I19" s="7"/>
      <c r="J19" s="7"/>
      <c r="K19" s="7"/>
      <c r="M19" s="19"/>
      <c r="N19" s="19"/>
      <c r="O19" s="19"/>
      <c r="P19" s="19"/>
      <c r="Q19" s="19"/>
      <c r="R19" s="19"/>
      <c r="S19" s="19"/>
    </row>
    <row r="20" spans="1:19" ht="12.75">
      <c r="A20" s="7"/>
      <c r="B20" s="7"/>
      <c r="C20" s="7"/>
      <c r="D20" s="7"/>
      <c r="E20" s="7"/>
      <c r="F20" s="7"/>
      <c r="G20" s="7"/>
      <c r="H20" s="7"/>
      <c r="I20" s="7"/>
      <c r="J20" s="7"/>
      <c r="K20" s="7"/>
      <c r="M20" s="19"/>
      <c r="N20" s="19"/>
      <c r="O20" s="19"/>
      <c r="P20" s="19"/>
      <c r="Q20" s="19"/>
      <c r="R20" s="19"/>
      <c r="S20" s="19"/>
    </row>
    <row r="21" spans="1:19" ht="12.75">
      <c r="A21" s="7"/>
      <c r="B21" s="7"/>
      <c r="C21" s="7"/>
      <c r="D21" s="7"/>
      <c r="E21" s="7"/>
      <c r="F21" s="7"/>
      <c r="G21" s="7"/>
      <c r="H21" s="7"/>
      <c r="I21" s="7"/>
      <c r="J21" s="7"/>
      <c r="K21" s="7"/>
      <c r="M21" s="19"/>
      <c r="N21" s="19"/>
      <c r="O21" s="19"/>
      <c r="P21" s="19"/>
      <c r="Q21" s="19"/>
      <c r="R21" s="19"/>
      <c r="S21" s="19"/>
    </row>
    <row r="22" spans="1:19" ht="12.75">
      <c r="A22" s="7"/>
      <c r="B22" s="7"/>
      <c r="C22" s="7"/>
      <c r="D22" s="7"/>
      <c r="E22" s="7"/>
      <c r="F22" s="7"/>
      <c r="G22" s="7"/>
      <c r="H22" s="7"/>
      <c r="I22" s="7"/>
      <c r="J22" s="7"/>
      <c r="K22" s="7"/>
      <c r="M22" s="19"/>
      <c r="N22" s="19"/>
      <c r="O22" s="19"/>
      <c r="P22" s="19"/>
      <c r="Q22" s="19"/>
      <c r="R22" s="19"/>
      <c r="S22" s="19"/>
    </row>
    <row r="23" spans="1:19" ht="12.75">
      <c r="A23" s="7"/>
      <c r="B23" s="7"/>
      <c r="C23" s="7"/>
      <c r="D23" s="7"/>
      <c r="E23" s="7"/>
      <c r="F23" s="7"/>
      <c r="G23" s="7"/>
      <c r="H23" s="7"/>
      <c r="I23" s="7"/>
      <c r="J23" s="7"/>
      <c r="K23" s="7"/>
      <c r="M23" s="19"/>
      <c r="N23" s="19"/>
      <c r="O23" s="19"/>
      <c r="P23" s="19"/>
      <c r="Q23" s="19"/>
      <c r="R23" s="19"/>
      <c r="S23" s="19"/>
    </row>
    <row r="24" spans="1:19" ht="12.75">
      <c r="A24" s="7"/>
      <c r="B24" s="7"/>
      <c r="C24" s="7"/>
      <c r="D24" s="7"/>
      <c r="E24" s="7"/>
      <c r="F24" s="7"/>
      <c r="G24" s="7"/>
      <c r="H24" s="7"/>
      <c r="I24" s="7"/>
      <c r="J24" s="7"/>
      <c r="K24" s="7"/>
      <c r="M24" s="19"/>
      <c r="N24" s="19"/>
      <c r="O24" s="19"/>
      <c r="P24" s="19"/>
      <c r="Q24" s="19"/>
      <c r="R24" s="19"/>
      <c r="S24" s="19"/>
    </row>
    <row r="25" spans="1:19" ht="12.75">
      <c r="A25" s="7"/>
      <c r="B25" s="7"/>
      <c r="C25" s="7"/>
      <c r="D25" s="7"/>
      <c r="E25" s="7"/>
      <c r="F25" s="7"/>
      <c r="G25" s="7"/>
      <c r="H25" s="7"/>
      <c r="I25" s="7"/>
      <c r="J25" s="7"/>
      <c r="K25" s="7"/>
      <c r="M25" s="19"/>
      <c r="N25" s="19"/>
      <c r="O25" s="19"/>
      <c r="P25" s="19"/>
      <c r="Q25" s="19"/>
      <c r="R25" s="19"/>
      <c r="S25" s="19"/>
    </row>
    <row r="26" spans="1:19" ht="12.75">
      <c r="A26" s="7"/>
      <c r="B26" s="7"/>
      <c r="C26" s="7"/>
      <c r="D26" s="7"/>
      <c r="E26" s="7"/>
      <c r="F26" s="7"/>
      <c r="G26" s="7"/>
      <c r="H26" s="7"/>
      <c r="I26" s="7"/>
      <c r="J26" s="7"/>
      <c r="K26" s="7"/>
      <c r="M26" s="19"/>
      <c r="N26" s="19"/>
      <c r="O26" s="19"/>
      <c r="P26" s="19"/>
      <c r="Q26" s="19"/>
      <c r="R26" s="19"/>
      <c r="S26" s="19"/>
    </row>
    <row r="27" spans="1:19" ht="12.75">
      <c r="A27" s="7"/>
      <c r="B27" s="7"/>
      <c r="C27" s="7"/>
      <c r="D27" s="7"/>
      <c r="E27" s="7"/>
      <c r="F27" s="7"/>
      <c r="G27" s="7"/>
      <c r="H27" s="7"/>
      <c r="I27" s="7"/>
      <c r="J27" s="7"/>
      <c r="K27" s="7"/>
      <c r="M27" s="19"/>
      <c r="N27" s="19"/>
      <c r="O27" s="19"/>
      <c r="P27" s="19"/>
      <c r="Q27" s="19"/>
      <c r="R27" s="19"/>
      <c r="S27" s="19"/>
    </row>
    <row r="28" spans="1:19" ht="12.75">
      <c r="A28" s="7"/>
      <c r="B28" s="6"/>
      <c r="C28" s="6"/>
      <c r="D28" s="6"/>
      <c r="E28" s="6"/>
      <c r="F28" s="6"/>
      <c r="G28" s="6"/>
      <c r="H28" s="6"/>
      <c r="K28" s="7"/>
      <c r="M28" s="19"/>
      <c r="N28" s="19"/>
      <c r="O28" s="19"/>
      <c r="P28" s="19"/>
      <c r="Q28" s="19"/>
      <c r="R28" s="19"/>
      <c r="S28" s="19"/>
    </row>
    <row r="29" spans="1:19" ht="12.75">
      <c r="A29" s="7"/>
      <c r="F29" s="7"/>
      <c r="K29" s="7"/>
      <c r="M29" s="19"/>
      <c r="N29" s="19"/>
      <c r="O29" s="19"/>
      <c r="P29" s="19"/>
      <c r="Q29" s="19"/>
      <c r="R29" s="19"/>
      <c r="S29" s="19"/>
    </row>
    <row r="30" spans="1:19" ht="12.75">
      <c r="A30" s="7"/>
      <c r="F30" s="7"/>
      <c r="K30" s="7"/>
      <c r="M30" s="19"/>
      <c r="N30" s="19"/>
      <c r="O30" s="19"/>
      <c r="P30" s="19"/>
      <c r="Q30" s="19"/>
      <c r="R30" s="19"/>
      <c r="S30" s="19"/>
    </row>
    <row r="31" spans="1:19" ht="12.75">
      <c r="A31" s="7"/>
      <c r="F31" s="7"/>
      <c r="K31" s="7"/>
      <c r="M31" s="19"/>
      <c r="N31" s="19"/>
      <c r="O31" s="19"/>
      <c r="P31" s="19"/>
      <c r="Q31" s="19"/>
      <c r="R31" s="19"/>
      <c r="S31" s="19"/>
    </row>
    <row r="32" spans="1:11" ht="12.75">
      <c r="A32" s="7"/>
      <c r="F32" s="7"/>
      <c r="K32" s="7"/>
    </row>
    <row r="33" spans="1:11" ht="12.75">
      <c r="A33" s="7"/>
      <c r="F33" s="7" t="s">
        <v>277</v>
      </c>
      <c r="K33" s="7"/>
    </row>
    <row r="34" spans="1:11" ht="12.75">
      <c r="A34" s="7"/>
      <c r="F34" s="7"/>
      <c r="K34" s="7"/>
    </row>
    <row r="35" spans="1:11" ht="12.75">
      <c r="A35" s="7"/>
      <c r="F35" s="7"/>
      <c r="K35" s="7"/>
    </row>
    <row r="36" spans="1:18" ht="12.75">
      <c r="A36" s="7"/>
      <c r="F36" s="7"/>
      <c r="K36" s="7"/>
      <c r="M36" s="19"/>
      <c r="N36" s="19"/>
      <c r="O36" s="19"/>
      <c r="P36" s="19"/>
      <c r="Q36" s="19"/>
      <c r="R36" s="19"/>
    </row>
    <row r="37" spans="1:18" ht="12.75">
      <c r="A37" s="7"/>
      <c r="B37" s="7"/>
      <c r="C37" s="7"/>
      <c r="D37" s="7"/>
      <c r="E37" s="7"/>
      <c r="F37" s="7"/>
      <c r="G37" s="7"/>
      <c r="H37" s="7"/>
      <c r="I37" s="7"/>
      <c r="J37" s="7"/>
      <c r="K37" s="7"/>
      <c r="M37" s="19">
        <f>Årsbudget!D13*-1</f>
        <v>241</v>
      </c>
      <c r="N37" s="19">
        <f>Årsbudget!E13*-1</f>
        <v>241</v>
      </c>
      <c r="O37" s="19">
        <f>Årsbudget!F13*-1</f>
        <v>0</v>
      </c>
      <c r="P37" s="19">
        <f>Årsbudget!G13*-1</f>
        <v>0</v>
      </c>
      <c r="Q37" s="19">
        <f>Årsbudget!H13*-1</f>
        <v>0</v>
      </c>
      <c r="R37" s="19">
        <f>Årsbudget!I13*-1</f>
        <v>0</v>
      </c>
    </row>
    <row r="38" spans="1:11" ht="12.75">
      <c r="A38" s="7"/>
      <c r="F38" s="7"/>
      <c r="K38" s="7"/>
    </row>
    <row r="39" spans="1:11" ht="12.75">
      <c r="A39" s="7"/>
      <c r="F39" s="7"/>
      <c r="K39" s="7"/>
    </row>
    <row r="40" spans="1:11" ht="12.75">
      <c r="A40" s="7"/>
      <c r="F40" s="7"/>
      <c r="K40" s="7"/>
    </row>
    <row r="41" spans="1:11" ht="12.75">
      <c r="A41" s="7"/>
      <c r="F41" s="7"/>
      <c r="K41" s="7"/>
    </row>
    <row r="42" spans="1:11" ht="12.75">
      <c r="A42" s="7"/>
      <c r="F42" s="7"/>
      <c r="K42" s="7"/>
    </row>
    <row r="43" spans="1:11" ht="12.75">
      <c r="A43" s="7"/>
      <c r="F43" s="7"/>
      <c r="K43" s="7"/>
    </row>
    <row r="44" spans="1:11" ht="12.75">
      <c r="A44" s="7"/>
      <c r="F44" s="7"/>
      <c r="K44" s="7"/>
    </row>
    <row r="45" spans="1:11" ht="12.75">
      <c r="A45" s="7"/>
      <c r="F45" s="7"/>
      <c r="K45" s="7"/>
    </row>
    <row r="46" spans="1:11" ht="12.75">
      <c r="A46" s="7"/>
      <c r="F46" s="7"/>
      <c r="K46" s="7"/>
    </row>
    <row r="47" spans="1:11" ht="12.75">
      <c r="A47" s="7"/>
      <c r="F47" s="7"/>
      <c r="K47" s="7"/>
    </row>
    <row r="48" spans="1:11" ht="12.75">
      <c r="A48" s="7"/>
      <c r="B48" s="7"/>
      <c r="C48" s="7"/>
      <c r="D48" s="7"/>
      <c r="E48" s="7"/>
      <c r="F48" s="7"/>
      <c r="G48" s="7"/>
      <c r="H48" s="7"/>
      <c r="I48" s="7"/>
      <c r="J48" s="7"/>
      <c r="K48" s="7"/>
    </row>
    <row r="49" spans="1:11" ht="12.75">
      <c r="A49" s="7"/>
      <c r="B49" s="7"/>
      <c r="C49" s="7"/>
      <c r="D49" s="7"/>
      <c r="E49" s="7"/>
      <c r="F49" s="7"/>
      <c r="G49" s="7"/>
      <c r="H49" s="7"/>
      <c r="I49" s="7"/>
      <c r="J49" s="407" t="s">
        <v>179</v>
      </c>
      <c r="K49" s="7">
        <f>K1+1</f>
        <v>2</v>
      </c>
    </row>
    <row r="50" spans="1:11" ht="12.75">
      <c r="A50" s="7"/>
      <c r="B50" s="7"/>
      <c r="C50" s="7"/>
      <c r="D50" s="7"/>
      <c r="E50" s="7"/>
      <c r="F50" s="7"/>
      <c r="G50" s="7"/>
      <c r="H50" s="7"/>
      <c r="I50" s="7"/>
      <c r="J50" s="7"/>
      <c r="K50" s="7"/>
    </row>
    <row r="51" spans="1:11" ht="12.75">
      <c r="A51" s="7"/>
      <c r="B51" s="7"/>
      <c r="C51" s="7"/>
      <c r="D51" s="7"/>
      <c r="E51" s="7"/>
      <c r="F51" s="7"/>
      <c r="G51" s="7"/>
      <c r="H51" s="7"/>
      <c r="I51" s="7"/>
      <c r="J51" s="7"/>
      <c r="K51" s="7"/>
    </row>
    <row r="52" spans="1:11" ht="12.75">
      <c r="A52" s="7"/>
      <c r="B52" s="7"/>
      <c r="C52" s="7"/>
      <c r="D52" s="7"/>
      <c r="E52" s="7"/>
      <c r="F52" s="7"/>
      <c r="G52" s="7"/>
      <c r="H52" s="7"/>
      <c r="I52" s="7"/>
      <c r="J52" s="7"/>
      <c r="K52" s="7"/>
    </row>
    <row r="53" spans="1:11" ht="12.75">
      <c r="A53" s="7"/>
      <c r="F53" s="7"/>
      <c r="G53" s="7"/>
      <c r="H53" s="7"/>
      <c r="I53" s="7"/>
      <c r="J53" s="7"/>
      <c r="K53" s="7"/>
    </row>
    <row r="54" spans="1:11" ht="12.75">
      <c r="A54" s="7"/>
      <c r="F54" s="7"/>
      <c r="G54" s="7"/>
      <c r="H54" s="7"/>
      <c r="I54" s="7"/>
      <c r="J54" s="7"/>
      <c r="K54" s="7"/>
    </row>
    <row r="55" spans="1:11" ht="12.75">
      <c r="A55" s="7"/>
      <c r="F55" s="7"/>
      <c r="G55" s="7"/>
      <c r="H55" s="7"/>
      <c r="I55" s="7"/>
      <c r="J55" s="7"/>
      <c r="K55" s="7"/>
    </row>
    <row r="56" spans="1:11" ht="12.75">
      <c r="A56" s="7"/>
      <c r="F56" s="7"/>
      <c r="G56" s="7"/>
      <c r="H56" s="7"/>
      <c r="I56" s="7"/>
      <c r="J56" s="7"/>
      <c r="K56" s="7"/>
    </row>
    <row r="57" spans="1:11" ht="12.75">
      <c r="A57" s="7"/>
      <c r="F57" s="7"/>
      <c r="G57" s="7"/>
      <c r="H57" s="7"/>
      <c r="I57" s="7"/>
      <c r="J57" s="7"/>
      <c r="K57" s="7"/>
    </row>
    <row r="58" spans="1:11" ht="12.75">
      <c r="A58" s="7"/>
      <c r="F58" s="7"/>
      <c r="G58" s="7"/>
      <c r="H58" s="7"/>
      <c r="I58" s="7"/>
      <c r="J58" s="7"/>
      <c r="K58" s="7"/>
    </row>
    <row r="59" spans="1:11" ht="12.75">
      <c r="A59" s="7"/>
      <c r="F59" s="7"/>
      <c r="G59" s="7"/>
      <c r="H59" s="7"/>
      <c r="I59" s="7"/>
      <c r="J59" s="7"/>
      <c r="K59" s="7"/>
    </row>
    <row r="60" spans="1:11" ht="12.75">
      <c r="A60" s="7"/>
      <c r="F60" s="7"/>
      <c r="G60" s="7"/>
      <c r="H60" s="7"/>
      <c r="I60" s="7"/>
      <c r="J60" s="7"/>
      <c r="K60" s="7"/>
    </row>
    <row r="61" spans="1:11" ht="12.75">
      <c r="A61" s="7"/>
      <c r="F61" s="7"/>
      <c r="G61" s="7"/>
      <c r="H61" s="7"/>
      <c r="I61" s="7"/>
      <c r="J61" s="7"/>
      <c r="K61" s="7"/>
    </row>
    <row r="62" spans="1:11" ht="12.75">
      <c r="A62" s="7"/>
      <c r="B62" s="7"/>
      <c r="C62" s="7"/>
      <c r="D62" s="7"/>
      <c r="E62" s="7"/>
      <c r="F62" s="7"/>
      <c r="G62" s="7"/>
      <c r="H62" s="7"/>
      <c r="I62" s="7"/>
      <c r="J62" s="7"/>
      <c r="K62" s="7"/>
    </row>
    <row r="63" spans="1:11" ht="12.75">
      <c r="A63" s="7"/>
      <c r="F63" s="7"/>
      <c r="G63" s="7"/>
      <c r="K63" s="7"/>
    </row>
    <row r="64" spans="1:11" ht="12.75">
      <c r="A64" s="7"/>
      <c r="F64" s="7"/>
      <c r="G64" s="7"/>
      <c r="K64" s="7"/>
    </row>
    <row r="65" spans="1:11" ht="12.75">
      <c r="A65" s="7"/>
      <c r="F65" s="7"/>
      <c r="G65" s="7"/>
      <c r="K65" s="7"/>
    </row>
    <row r="66" spans="1:11" ht="12.75">
      <c r="A66" s="7"/>
      <c r="F66" s="7"/>
      <c r="G66" s="7"/>
      <c r="K66" s="7"/>
    </row>
    <row r="67" spans="1:11" ht="12.75">
      <c r="A67" s="7"/>
      <c r="F67" s="7"/>
      <c r="G67" s="7"/>
      <c r="K67" s="7"/>
    </row>
    <row r="68" spans="1:11" ht="12.75">
      <c r="A68" s="7"/>
      <c r="F68" s="7"/>
      <c r="G68" s="7"/>
      <c r="K68" s="7"/>
    </row>
    <row r="69" spans="1:11" ht="12.75">
      <c r="A69" s="7"/>
      <c r="F69" s="7"/>
      <c r="G69" s="7"/>
      <c r="K69" s="7"/>
    </row>
    <row r="70" spans="1:11" ht="12.75">
      <c r="A70" s="7"/>
      <c r="F70" s="7"/>
      <c r="G70" s="7"/>
      <c r="K70" s="7"/>
    </row>
    <row r="71" spans="1:11" ht="12.75">
      <c r="A71" s="7"/>
      <c r="F71" s="7"/>
      <c r="G71" s="7"/>
      <c r="K71" s="7"/>
    </row>
    <row r="72" spans="1:11" ht="12.75">
      <c r="A72" s="7"/>
      <c r="F72" s="7"/>
      <c r="G72" s="7"/>
      <c r="K72" s="7"/>
    </row>
    <row r="73" spans="1:11" ht="12.75">
      <c r="A73" s="7"/>
      <c r="B73" s="7"/>
      <c r="C73" s="7"/>
      <c r="D73" s="7"/>
      <c r="E73" s="7"/>
      <c r="F73" s="7"/>
      <c r="G73" s="7"/>
      <c r="H73" s="7"/>
      <c r="I73" s="7"/>
      <c r="J73" s="7"/>
      <c r="K73" s="7"/>
    </row>
    <row r="74" spans="1:11" ht="12.75">
      <c r="A74" s="7"/>
      <c r="F74" s="322"/>
      <c r="K74" s="323"/>
    </row>
    <row r="75" spans="1:11" ht="12.75">
      <c r="A75" s="7"/>
      <c r="F75" s="322"/>
      <c r="K75" s="323"/>
    </row>
    <row r="76" spans="1:11" ht="12.75">
      <c r="A76" s="7"/>
      <c r="F76" s="7"/>
      <c r="K76" s="7"/>
    </row>
    <row r="77" spans="1:11" ht="12.75">
      <c r="A77" s="7"/>
      <c r="F77" s="7"/>
      <c r="K77" s="7"/>
    </row>
    <row r="78" spans="1:11" ht="12.75">
      <c r="A78" s="7"/>
      <c r="F78" s="7"/>
      <c r="K78" s="7"/>
    </row>
    <row r="79" spans="1:11" ht="12.75">
      <c r="A79" s="7"/>
      <c r="F79" s="7"/>
      <c r="K79" s="7"/>
    </row>
    <row r="80" spans="1:11" ht="12.75">
      <c r="A80" s="7"/>
      <c r="F80" s="7"/>
      <c r="K80" s="7"/>
    </row>
    <row r="81" spans="1:11" ht="12.75">
      <c r="A81" s="7"/>
      <c r="F81" s="7"/>
      <c r="K81" s="7"/>
    </row>
    <row r="82" spans="1:11" ht="12.75">
      <c r="A82" s="7"/>
      <c r="F82" s="7"/>
      <c r="K82" s="7"/>
    </row>
    <row r="83" spans="1:11" ht="12.75">
      <c r="A83" s="7"/>
      <c r="F83" s="7"/>
      <c r="K83" s="7"/>
    </row>
    <row r="84" spans="1:11" ht="12.75">
      <c r="A84" s="7"/>
      <c r="B84" s="7"/>
      <c r="C84" s="7"/>
      <c r="D84" s="7"/>
      <c r="E84" s="7"/>
      <c r="F84" s="7"/>
      <c r="G84" s="7"/>
      <c r="H84" s="7"/>
      <c r="I84" s="7"/>
      <c r="J84" s="7"/>
      <c r="K84" s="7"/>
    </row>
    <row r="85" spans="1:11" ht="12.75">
      <c r="A85" s="7"/>
      <c r="F85" s="7"/>
      <c r="K85" s="7"/>
    </row>
    <row r="86" spans="1:11" ht="12.75">
      <c r="A86" s="7"/>
      <c r="F86" s="7"/>
      <c r="K86" s="7"/>
    </row>
    <row r="87" spans="1:11" ht="12.75">
      <c r="A87" s="7"/>
      <c r="F87" s="7"/>
      <c r="K87" s="7"/>
    </row>
    <row r="88" spans="1:11" ht="12.75">
      <c r="A88" s="7"/>
      <c r="F88" s="7"/>
      <c r="K88" s="7"/>
    </row>
    <row r="89" spans="1:11" ht="12.75">
      <c r="A89" s="7"/>
      <c r="F89" s="7"/>
      <c r="K89" s="7"/>
    </row>
    <row r="90" spans="1:11" ht="12.75">
      <c r="A90" s="7"/>
      <c r="F90" s="7"/>
      <c r="K90" s="7"/>
    </row>
    <row r="91" spans="1:11" ht="12.75">
      <c r="A91" s="7"/>
      <c r="F91" s="7"/>
      <c r="K91" s="7"/>
    </row>
    <row r="92" spans="1:11" ht="12.75">
      <c r="A92" s="7"/>
      <c r="F92" s="7"/>
      <c r="K92" s="7"/>
    </row>
    <row r="93" spans="1:11" ht="12.75">
      <c r="A93" s="7"/>
      <c r="F93" s="7"/>
      <c r="K93" s="7"/>
    </row>
    <row r="94" spans="1:11" ht="12.75">
      <c r="A94" s="7"/>
      <c r="F94" s="7"/>
      <c r="K94" s="7"/>
    </row>
    <row r="95" spans="1:11" ht="12.75">
      <c r="A95" s="7"/>
      <c r="B95" s="7"/>
      <c r="C95" s="7"/>
      <c r="D95" s="7"/>
      <c r="E95" s="7"/>
      <c r="F95" s="7"/>
      <c r="G95" s="7"/>
      <c r="H95" s="7"/>
      <c r="I95" s="7"/>
      <c r="J95" s="7"/>
      <c r="K95" s="7"/>
    </row>
    <row r="96" spans="1:11" ht="12.75">
      <c r="A96" s="7"/>
      <c r="B96" s="7"/>
      <c r="C96" s="7"/>
      <c r="D96" s="7"/>
      <c r="E96" s="7"/>
      <c r="F96" s="7"/>
      <c r="G96" s="7"/>
      <c r="H96" s="7"/>
      <c r="I96" s="7"/>
      <c r="J96" s="407"/>
      <c r="K96" s="7"/>
    </row>
    <row r="97" spans="1:11" ht="12.75">
      <c r="A97" s="7"/>
      <c r="B97" s="7"/>
      <c r="C97" s="7"/>
      <c r="D97" s="7"/>
      <c r="E97" s="7"/>
      <c r="F97" s="7"/>
      <c r="G97" s="7"/>
      <c r="H97" s="7"/>
      <c r="I97" s="7"/>
      <c r="J97" s="7"/>
      <c r="K97" s="7"/>
    </row>
    <row r="98" spans="1:11" ht="12.75">
      <c r="A98" s="7"/>
      <c r="B98" s="7"/>
      <c r="C98" s="7"/>
      <c r="D98" s="7"/>
      <c r="E98" s="7"/>
      <c r="F98" s="7"/>
      <c r="G98" s="7"/>
      <c r="H98" s="7"/>
      <c r="I98" s="7"/>
      <c r="J98" s="7"/>
      <c r="K98" s="7"/>
    </row>
    <row r="99" spans="1:11" ht="12.75">
      <c r="A99" s="7"/>
      <c r="B99" s="5"/>
      <c r="F99" s="7"/>
      <c r="G99" s="6"/>
      <c r="H99" s="6"/>
      <c r="K99" s="7"/>
    </row>
    <row r="100" spans="1:11" ht="12.75">
      <c r="A100" s="7"/>
      <c r="B100" s="6"/>
      <c r="C100" s="6"/>
      <c r="F100" s="7"/>
      <c r="K100" s="7"/>
    </row>
    <row r="101" spans="1:11" ht="12.75">
      <c r="A101" s="7"/>
      <c r="F101" s="7"/>
      <c r="K101" s="7"/>
    </row>
    <row r="102" spans="1:11" ht="12.75">
      <c r="A102" s="7"/>
      <c r="F102" s="7"/>
      <c r="K102" s="7"/>
    </row>
    <row r="103" spans="1:11" ht="12.75">
      <c r="A103" s="7"/>
      <c r="F103" s="7"/>
      <c r="K103" s="7"/>
    </row>
    <row r="104" spans="1:11" ht="12.75">
      <c r="A104" s="7"/>
      <c r="F104" s="7"/>
      <c r="K104" s="7"/>
    </row>
    <row r="105" spans="1:11" ht="12.75">
      <c r="A105" s="7"/>
      <c r="F105" s="7"/>
      <c r="K105" s="7"/>
    </row>
    <row r="106" spans="1:11" ht="12.75">
      <c r="A106" s="7"/>
      <c r="F106" s="7"/>
      <c r="K106" s="7"/>
    </row>
    <row r="107" spans="1:11" ht="12.75">
      <c r="A107" s="7"/>
      <c r="F107" s="7"/>
      <c r="K107" s="7"/>
    </row>
    <row r="108" spans="1:11" ht="12.75">
      <c r="A108" s="7"/>
      <c r="B108" s="7"/>
      <c r="C108" s="7"/>
      <c r="D108" s="7"/>
      <c r="E108" s="7"/>
      <c r="F108" s="7"/>
      <c r="G108" s="7"/>
      <c r="H108" s="7"/>
      <c r="I108" s="7"/>
      <c r="J108" s="7"/>
      <c r="K108" s="7"/>
    </row>
    <row r="109" spans="1:11" ht="12.75">
      <c r="A109" s="7"/>
      <c r="F109" s="7"/>
      <c r="G109" s="19"/>
      <c r="H109" s="19"/>
      <c r="K109" s="7"/>
    </row>
    <row r="110" spans="1:11" ht="12.75">
      <c r="A110" s="7"/>
      <c r="B110" s="6"/>
      <c r="C110" s="6"/>
      <c r="D110" s="6"/>
      <c r="E110" s="6"/>
      <c r="F110" s="6"/>
      <c r="G110" s="18">
        <f>Årsbudget!H24</f>
        <v>0</v>
      </c>
      <c r="H110" s="18">
        <f>Årsbudget!I24</f>
        <v>0</v>
      </c>
      <c r="K110" s="7"/>
    </row>
    <row r="111" spans="1:11" ht="12.75">
      <c r="A111" s="7"/>
      <c r="B111" s="6"/>
      <c r="C111" s="6"/>
      <c r="D111" s="6"/>
      <c r="E111" s="6"/>
      <c r="F111" s="7"/>
      <c r="G111" s="18" t="e">
        <f>Årsbudget!#REF!</f>
        <v>#REF!</v>
      </c>
      <c r="H111" s="18" t="e">
        <f>Årsbudget!#REF!</f>
        <v>#REF!</v>
      </c>
      <c r="K111" s="7"/>
    </row>
    <row r="112" spans="1:11" ht="12.75">
      <c r="A112" s="7"/>
      <c r="B112" s="6"/>
      <c r="C112" s="6"/>
      <c r="D112" s="6"/>
      <c r="E112" s="6"/>
      <c r="F112" s="6"/>
      <c r="G112" s="18" t="e">
        <f>SUM(G110:G111)</f>
        <v>#REF!</v>
      </c>
      <c r="H112" s="18" t="e">
        <f>SUM(H110:H111)</f>
        <v>#REF!</v>
      </c>
      <c r="K112" s="7"/>
    </row>
    <row r="113" spans="1:11" ht="12.75">
      <c r="A113" s="7"/>
      <c r="F113" s="7"/>
      <c r="K113" s="7"/>
    </row>
    <row r="114" spans="1:11" ht="12.75">
      <c r="A114" s="7"/>
      <c r="F114" s="7"/>
      <c r="K114" s="7"/>
    </row>
    <row r="115" spans="1:11" ht="12.75">
      <c r="A115" s="7"/>
      <c r="F115" s="7"/>
      <c r="K115" s="7"/>
    </row>
    <row r="116" spans="1:11" ht="12.75">
      <c r="A116" s="7"/>
      <c r="F116" s="7"/>
      <c r="K116" s="7"/>
    </row>
    <row r="117" spans="1:11" ht="12.75">
      <c r="A117" s="7"/>
      <c r="F117" s="7"/>
      <c r="K117" s="7"/>
    </row>
    <row r="118" spans="1:11" ht="12.75">
      <c r="A118" s="7"/>
      <c r="F118" s="7"/>
      <c r="K118" s="7"/>
    </row>
    <row r="119" spans="1:11" ht="12.75">
      <c r="A119" s="7"/>
      <c r="F119" s="7"/>
      <c r="K119" s="7"/>
    </row>
    <row r="120" spans="1:11" ht="12.75">
      <c r="A120" s="7"/>
      <c r="B120" s="7"/>
      <c r="C120" s="7"/>
      <c r="D120" s="7"/>
      <c r="E120" s="7"/>
      <c r="F120" s="7"/>
      <c r="G120" s="7"/>
      <c r="H120" s="7"/>
      <c r="I120" s="7"/>
      <c r="J120" s="7"/>
      <c r="K120" s="7"/>
    </row>
    <row r="121" spans="1:11" ht="12.75">
      <c r="A121" s="7"/>
      <c r="F121" s="7"/>
      <c r="K121" s="7"/>
    </row>
    <row r="122" spans="1:11" ht="12.75">
      <c r="A122" s="7"/>
      <c r="F122" s="7"/>
      <c r="K122" s="7"/>
    </row>
    <row r="123" spans="1:11" ht="12.75">
      <c r="A123" s="7"/>
      <c r="F123" s="7"/>
      <c r="K123" s="7"/>
    </row>
    <row r="124" spans="1:11" ht="12.75">
      <c r="A124" s="7"/>
      <c r="B124" s="6"/>
      <c r="C124" s="6"/>
      <c r="D124" s="6"/>
      <c r="E124" s="6"/>
      <c r="F124" s="7"/>
      <c r="K124" s="7"/>
    </row>
    <row r="125" spans="1:11" ht="12.75">
      <c r="A125" s="7"/>
      <c r="E125" s="6"/>
      <c r="F125" s="7"/>
      <c r="K125" s="7"/>
    </row>
    <row r="126" spans="1:11" ht="12.75">
      <c r="A126" s="7"/>
      <c r="F126" s="7"/>
      <c r="K126" s="7"/>
    </row>
    <row r="127" spans="1:11" ht="12.75">
      <c r="A127" s="7"/>
      <c r="F127" s="7"/>
      <c r="K127" s="7"/>
    </row>
    <row r="128" spans="1:11" ht="12.75">
      <c r="A128" s="7"/>
      <c r="F128" s="7"/>
      <c r="K128" s="7"/>
    </row>
    <row r="129" spans="1:11" ht="12.75">
      <c r="A129" s="7"/>
      <c r="F129" s="7"/>
      <c r="K129" s="7"/>
    </row>
    <row r="130" spans="1:11" ht="12.75">
      <c r="A130" s="7"/>
      <c r="F130" s="7"/>
      <c r="K130" s="7"/>
    </row>
    <row r="131" spans="1:11" ht="12.75">
      <c r="A131" s="7"/>
      <c r="F131" s="7"/>
      <c r="K131" s="7"/>
    </row>
    <row r="132" spans="1:11" ht="12.75">
      <c r="A132" s="7"/>
      <c r="F132" s="7"/>
      <c r="K132" s="7"/>
    </row>
    <row r="133" spans="1:11" ht="12.75">
      <c r="A133" s="7"/>
      <c r="B133" s="7"/>
      <c r="C133" s="7"/>
      <c r="D133" s="7"/>
      <c r="E133" s="7"/>
      <c r="F133" s="7"/>
      <c r="G133" s="7"/>
      <c r="H133" s="7"/>
      <c r="I133" s="7"/>
      <c r="J133" s="7"/>
      <c r="K133" s="7"/>
    </row>
    <row r="134" spans="1:11" ht="12.75">
      <c r="A134" s="321" t="s">
        <v>208</v>
      </c>
      <c r="B134" s="7"/>
      <c r="C134" s="7"/>
      <c r="D134" s="7"/>
      <c r="E134" s="7"/>
      <c r="F134" s="7"/>
      <c r="G134" s="7"/>
      <c r="H134" s="7"/>
      <c r="I134" s="7"/>
      <c r="J134" s="7"/>
      <c r="K134" s="7"/>
    </row>
    <row r="135" spans="2:11" ht="12.75">
      <c r="B135" s="7"/>
      <c r="C135" s="7"/>
      <c r="D135" s="7"/>
      <c r="E135" s="7"/>
      <c r="F135" s="7"/>
      <c r="G135" s="7"/>
      <c r="H135" s="7"/>
      <c r="I135" s="7"/>
      <c r="J135" s="7"/>
      <c r="K135" s="7"/>
    </row>
    <row r="138" spans="2:5" ht="12.75">
      <c r="B138" s="18">
        <f>Årsbudget!D23*-1</f>
        <v>245</v>
      </c>
      <c r="C138" s="18">
        <f>Start!E119</f>
        <v>135.36697842451628</v>
      </c>
      <c r="D138" s="18">
        <f>Årsbudget!D25</f>
        <v>0.44852918551987386</v>
      </c>
      <c r="E138" s="18">
        <f>SUM(B138:D138)</f>
        <v>380.81550761003615</v>
      </c>
    </row>
    <row r="139" spans="2:5" ht="12.75">
      <c r="B139" s="19"/>
      <c r="C139" s="19"/>
      <c r="D139" s="19"/>
      <c r="E139" s="19"/>
    </row>
    <row r="140" spans="2:5" ht="12.75">
      <c r="B140" s="19" t="s">
        <v>159</v>
      </c>
      <c r="C140" s="19" t="s">
        <v>51</v>
      </c>
      <c r="D140" s="19" t="s">
        <v>109</v>
      </c>
      <c r="E140" s="19"/>
    </row>
  </sheetData>
  <sheetProtection sheet="1" objects="1" scenarios="1"/>
  <hyperlinks>
    <hyperlink ref="A2" location="Start!A1" display="&lt;"/>
    <hyperlink ref="A134" location="Start!A1" display="&lt;"/>
  </hyperlinks>
  <printOptions/>
  <pageMargins left="0.75" right="0.75" top="1" bottom="1" header="0" footer="0"/>
  <pageSetup horizontalDpi="600" verticalDpi="600" orientation="portrait" paperSize="9" r:id="rId2"/>
  <headerFooter alignWithMargins="0">
    <oddFooter>&amp;L&amp;D</oddFooter>
  </headerFooter>
  <rowBreaks count="2" manualBreakCount="2">
    <brk id="48" max="255" man="1"/>
    <brk id="95" max="255" man="1"/>
  </rowBreaks>
  <drawing r:id="rId1"/>
</worksheet>
</file>

<file path=xl/worksheets/sheet11.xml><?xml version="1.0" encoding="utf-8"?>
<worksheet xmlns="http://schemas.openxmlformats.org/spreadsheetml/2006/main" xmlns:r="http://schemas.openxmlformats.org/officeDocument/2006/relationships">
  <dimension ref="A1:M78"/>
  <sheetViews>
    <sheetView showGridLines="0" zoomScalePageLayoutView="0" workbookViewId="0" topLeftCell="A1">
      <selection activeCell="G13" sqref="G13"/>
    </sheetView>
  </sheetViews>
  <sheetFormatPr defaultColWidth="9.140625" defaultRowHeight="12.75"/>
  <cols>
    <col min="2" max="2" width="11.28125" style="0" customWidth="1"/>
    <col min="3" max="3" width="13.7109375" style="0" customWidth="1"/>
    <col min="4" max="4" width="14.140625" style="0" bestFit="1" customWidth="1"/>
    <col min="5" max="5" width="10.7109375" style="0" customWidth="1"/>
    <col min="7" max="7" width="9.57421875" style="0" bestFit="1" customWidth="1"/>
    <col min="8" max="8" width="11.00390625" style="0" customWidth="1"/>
    <col min="9" max="9" width="3.421875" style="0" customWidth="1"/>
    <col min="11" max="11" width="9.57421875" style="0" bestFit="1" customWidth="1"/>
    <col min="13" max="13" width="9.7109375" style="0" bestFit="1" customWidth="1"/>
  </cols>
  <sheetData>
    <row r="1" spans="1:10" ht="12.75">
      <c r="A1" s="226" t="s">
        <v>208</v>
      </c>
      <c r="B1" s="230"/>
      <c r="C1" s="230"/>
      <c r="D1" s="230"/>
      <c r="E1" s="230"/>
      <c r="F1" s="230"/>
      <c r="G1" s="230"/>
      <c r="H1" s="230"/>
      <c r="I1" s="232"/>
      <c r="J1" s="230"/>
    </row>
    <row r="2" spans="1:10" ht="12.75">
      <c r="A2" s="230"/>
      <c r="B2" s="230"/>
      <c r="C2" s="230"/>
      <c r="D2" s="230"/>
      <c r="E2" s="230"/>
      <c r="F2" s="230"/>
      <c r="G2" s="230"/>
      <c r="H2" s="230"/>
      <c r="I2" s="230"/>
      <c r="J2" s="230"/>
    </row>
    <row r="3" spans="1:10" ht="12.75">
      <c r="A3" s="230"/>
      <c r="B3" s="230"/>
      <c r="C3" s="230"/>
      <c r="D3" s="230"/>
      <c r="E3" s="230"/>
      <c r="F3" s="230"/>
      <c r="G3" s="230"/>
      <c r="H3" s="230"/>
      <c r="I3" s="232"/>
      <c r="J3" s="230"/>
    </row>
    <row r="4" spans="1:10" ht="12.75">
      <c r="A4" s="243" t="s">
        <v>151</v>
      </c>
      <c r="B4" s="230"/>
      <c r="C4" s="230"/>
      <c r="D4" s="230"/>
      <c r="E4" s="230"/>
      <c r="F4" s="230"/>
      <c r="G4" s="230"/>
      <c r="H4" s="230"/>
      <c r="I4" s="230"/>
      <c r="J4" s="230"/>
    </row>
    <row r="5" spans="1:10" ht="12.75">
      <c r="A5" s="230"/>
      <c r="B5" s="230"/>
      <c r="C5" s="230"/>
      <c r="D5" s="230"/>
      <c r="E5" s="230"/>
      <c r="F5" s="230"/>
      <c r="G5" s="230"/>
      <c r="H5" s="230"/>
      <c r="I5" s="230"/>
      <c r="J5" s="230"/>
    </row>
    <row r="6" spans="1:10" ht="12.75">
      <c r="A6" s="416"/>
      <c r="B6" s="416" t="s">
        <v>108</v>
      </c>
      <c r="C6" s="416"/>
      <c r="D6" s="417">
        <f>IF(Start!E173=0,"0",(H6*E6/100)+Årsbudget!D24)</f>
        <v>-134.91844923899643</v>
      </c>
      <c r="E6" s="333">
        <f>(100-Start!E173)</f>
        <v>55</v>
      </c>
      <c r="F6" s="248">
        <f>Årsbudget!D5</f>
        <v>783.937</v>
      </c>
      <c r="G6" s="248">
        <f>H17/1000</f>
        <v>783.1214923899639</v>
      </c>
      <c r="H6" s="248">
        <f>F6-G6</f>
        <v>0.815507610036093</v>
      </c>
      <c r="I6" s="247"/>
      <c r="J6" s="230"/>
    </row>
    <row r="7" spans="1:10" ht="12.75">
      <c r="A7" s="230"/>
      <c r="B7" s="230"/>
      <c r="C7" s="230"/>
      <c r="D7" s="230"/>
      <c r="E7" s="247"/>
      <c r="F7" s="247"/>
      <c r="G7" s="247"/>
      <c r="H7" s="247"/>
      <c r="I7" s="247"/>
      <c r="J7" s="239"/>
    </row>
    <row r="8" spans="1:12" ht="12.75">
      <c r="A8" s="249" t="s">
        <v>74</v>
      </c>
      <c r="B8" s="387"/>
      <c r="C8" s="387"/>
      <c r="D8" s="387"/>
      <c r="E8" s="387"/>
      <c r="F8" s="250"/>
      <c r="G8" s="251"/>
      <c r="H8" s="252" t="s">
        <v>157</v>
      </c>
      <c r="I8" s="230"/>
      <c r="J8" s="239"/>
      <c r="L8" s="6"/>
    </row>
    <row r="9" spans="1:12" ht="12.75">
      <c r="A9" s="253" t="s">
        <v>189</v>
      </c>
      <c r="B9" s="250"/>
      <c r="C9" s="250"/>
      <c r="D9" s="250"/>
      <c r="E9" s="250"/>
      <c r="F9" s="250"/>
      <c r="G9" s="251"/>
      <c r="H9" s="448">
        <f>Mark!H62</f>
        <v>638267.3</v>
      </c>
      <c r="I9" s="230"/>
      <c r="J9" s="239"/>
      <c r="L9" s="6"/>
    </row>
    <row r="10" spans="1:11" ht="12.75">
      <c r="A10" s="254" t="s">
        <v>191</v>
      </c>
      <c r="B10" s="250"/>
      <c r="C10" s="250"/>
      <c r="D10" s="250"/>
      <c r="E10" s="250"/>
      <c r="F10" s="250"/>
      <c r="G10" s="251"/>
      <c r="H10" s="448">
        <f>IF(H9=0,"0",(Årsbudget!D25*100/(100-Start!E173)*-1+Årsbudget!D4)*1000)</f>
        <v>637451.792389964</v>
      </c>
      <c r="I10" s="230"/>
      <c r="J10" s="255"/>
      <c r="K10" s="30"/>
    </row>
    <row r="11" spans="1:10" ht="12.75">
      <c r="A11" s="230"/>
      <c r="B11" s="230"/>
      <c r="C11" s="230"/>
      <c r="D11" s="230"/>
      <c r="E11" s="230"/>
      <c r="F11" s="230"/>
      <c r="G11" s="230"/>
      <c r="H11" s="229"/>
      <c r="I11" s="230"/>
      <c r="J11" s="230"/>
    </row>
    <row r="12" spans="1:10" ht="12.75">
      <c r="A12" s="230"/>
      <c r="B12" s="230"/>
      <c r="C12" s="230"/>
      <c r="D12" s="230"/>
      <c r="E12" s="230"/>
      <c r="F12" s="230"/>
      <c r="G12" s="230"/>
      <c r="H12" s="229"/>
      <c r="I12" s="230"/>
      <c r="J12" s="230"/>
    </row>
    <row r="13" spans="1:10" ht="12.75">
      <c r="A13" s="230"/>
      <c r="B13" s="230"/>
      <c r="C13" s="230"/>
      <c r="D13" s="230"/>
      <c r="E13" s="230"/>
      <c r="F13" s="230"/>
      <c r="G13" s="230"/>
      <c r="H13" s="229"/>
      <c r="I13" s="230"/>
      <c r="J13" s="230"/>
    </row>
    <row r="14" spans="1:11" ht="12.75">
      <c r="A14" s="230"/>
      <c r="B14" s="230"/>
      <c r="C14" s="230"/>
      <c r="D14" s="230"/>
      <c r="E14" s="230"/>
      <c r="F14" s="230"/>
      <c r="G14" s="230"/>
      <c r="H14" s="229"/>
      <c r="I14" s="230"/>
      <c r="J14" s="230"/>
      <c r="K14" s="27"/>
    </row>
    <row r="15" spans="1:10" ht="12.75">
      <c r="A15" s="249" t="s">
        <v>352</v>
      </c>
      <c r="B15" s="387"/>
      <c r="C15" s="387"/>
      <c r="D15" s="387"/>
      <c r="E15" s="387"/>
      <c r="F15" s="250"/>
      <c r="G15" s="251"/>
      <c r="H15" s="449" t="s">
        <v>157</v>
      </c>
      <c r="I15" s="230"/>
      <c r="J15" s="239"/>
    </row>
    <row r="16" spans="1:11" ht="12.75">
      <c r="A16" s="253" t="s">
        <v>183</v>
      </c>
      <c r="B16" s="250"/>
      <c r="C16" s="250"/>
      <c r="D16" s="250"/>
      <c r="E16" s="250"/>
      <c r="F16" s="250"/>
      <c r="G16" s="257" t="e">
        <f>Kvæg!#REF!*Kvæg!#REF!</f>
        <v>#REF!</v>
      </c>
      <c r="H16" s="448">
        <f>Kvæg!G50+Kvæg!G72</f>
        <v>783937</v>
      </c>
      <c r="I16" s="230"/>
      <c r="J16" s="239"/>
      <c r="K16" s="17"/>
    </row>
    <row r="17" spans="1:13" ht="12.75">
      <c r="A17" s="253" t="s">
        <v>190</v>
      </c>
      <c r="B17" s="250"/>
      <c r="C17" s="250"/>
      <c r="D17" s="250"/>
      <c r="E17" s="250"/>
      <c r="F17" s="250"/>
      <c r="G17" s="258"/>
      <c r="H17" s="448">
        <f>IF(H16=0,"0",(Årsbudget!D25*100/(100-Start!E173)*-1+Årsbudget!D5)*1000)</f>
        <v>783121.4923899639</v>
      </c>
      <c r="I17" s="230"/>
      <c r="J17" s="239"/>
      <c r="K17" s="6"/>
      <c r="L17" s="6"/>
      <c r="M17" s="6"/>
    </row>
    <row r="18" spans="1:12" ht="12.75">
      <c r="A18" s="550" t="s">
        <v>401</v>
      </c>
      <c r="B18" s="250"/>
      <c r="C18" s="250"/>
      <c r="D18" s="250"/>
      <c r="E18" s="250"/>
      <c r="F18" s="250"/>
      <c r="G18" s="251"/>
      <c r="H18" s="451">
        <f>IF(Årsbudget!D5=0,"",D42)</f>
        <v>2.1720174607108</v>
      </c>
      <c r="I18" s="230"/>
      <c r="J18" s="259"/>
      <c r="K18" s="26"/>
      <c r="L18" s="6"/>
    </row>
    <row r="19" spans="1:12" ht="12.75">
      <c r="A19" s="253" t="s">
        <v>244</v>
      </c>
      <c r="B19" s="250"/>
      <c r="C19" s="250"/>
      <c r="D19" s="250"/>
      <c r="E19" s="250"/>
      <c r="F19" s="250"/>
      <c r="G19" s="355">
        <f>(Årsbudget!E42-Årsbudget!D42+Årsbudget!D13+Årsbudget!D24)*1000</f>
        <v>-139645.02081448023</v>
      </c>
      <c r="H19" s="450">
        <f>IF(Årsbudget!D5=0,"",H17+G19)</f>
        <v>643476.4715754837</v>
      </c>
      <c r="I19" s="230"/>
      <c r="J19" s="259"/>
      <c r="K19" s="26"/>
      <c r="L19" s="6"/>
    </row>
    <row r="20" spans="1:10" ht="12.75">
      <c r="A20" s="230"/>
      <c r="B20" s="230"/>
      <c r="C20" s="230"/>
      <c r="D20" s="230"/>
      <c r="E20" s="230"/>
      <c r="F20" s="230"/>
      <c r="G20" s="230"/>
      <c r="H20" s="230"/>
      <c r="I20" s="230"/>
      <c r="J20" s="230"/>
    </row>
    <row r="21" spans="1:10" ht="12.75">
      <c r="A21" s="230"/>
      <c r="B21" s="230"/>
      <c r="C21" s="230"/>
      <c r="D21" s="230"/>
      <c r="E21" s="230"/>
      <c r="F21" s="230"/>
      <c r="G21" s="230"/>
      <c r="H21" s="230"/>
      <c r="I21" s="230"/>
      <c r="J21" s="230"/>
    </row>
    <row r="22" spans="1:10" ht="12.75">
      <c r="A22" s="226" t="s">
        <v>208</v>
      </c>
      <c r="B22" s="230"/>
      <c r="C22" s="230"/>
      <c r="D22" s="230"/>
      <c r="E22" s="230"/>
      <c r="F22" s="230"/>
      <c r="G22" s="230"/>
      <c r="H22" s="230"/>
      <c r="I22" s="230"/>
      <c r="J22" s="230"/>
    </row>
    <row r="23" spans="1:10" ht="12.75">
      <c r="A23" s="226"/>
      <c r="B23" s="230"/>
      <c r="C23" s="230"/>
      <c r="D23" s="230"/>
      <c r="E23" s="230"/>
      <c r="F23" s="230"/>
      <c r="G23" s="230"/>
      <c r="H23" s="230"/>
      <c r="I23" s="230"/>
      <c r="J23" s="230"/>
    </row>
    <row r="24" spans="1:10" ht="12.75">
      <c r="A24" s="226"/>
      <c r="B24" s="230"/>
      <c r="C24" s="230"/>
      <c r="D24" s="230"/>
      <c r="E24" s="230"/>
      <c r="F24" s="230"/>
      <c r="G24" s="230"/>
      <c r="H24" s="230"/>
      <c r="I24" s="230"/>
      <c r="J24" s="230"/>
    </row>
    <row r="25" spans="1:10" ht="12.75">
      <c r="A25" s="230"/>
      <c r="B25" s="230"/>
      <c r="C25" s="230"/>
      <c r="D25" s="230"/>
      <c r="E25" s="230"/>
      <c r="F25" s="230"/>
      <c r="G25" s="261"/>
      <c r="H25" s="239"/>
      <c r="I25" s="230"/>
      <c r="J25" s="230"/>
    </row>
    <row r="26" spans="1:10" ht="12.75">
      <c r="A26" s="230"/>
      <c r="B26" s="230"/>
      <c r="C26" s="230"/>
      <c r="D26" s="230"/>
      <c r="E26" s="230"/>
      <c r="F26" s="230"/>
      <c r="G26" s="261"/>
      <c r="H26" s="239"/>
      <c r="I26" s="230"/>
      <c r="J26" s="230"/>
    </row>
    <row r="27" spans="1:10" ht="12.75">
      <c r="A27" s="230"/>
      <c r="B27" s="230"/>
      <c r="C27" s="230"/>
      <c r="D27" s="230"/>
      <c r="E27" s="230"/>
      <c r="F27" s="230"/>
      <c r="G27" s="230"/>
      <c r="H27" s="230"/>
      <c r="I27" s="230"/>
      <c r="J27" s="230"/>
    </row>
    <row r="28" spans="1:10" ht="12.75">
      <c r="A28" s="230"/>
      <c r="B28" s="230"/>
      <c r="C28" s="230"/>
      <c r="D28" s="230"/>
      <c r="E28" s="230"/>
      <c r="F28" s="230"/>
      <c r="G28" s="230"/>
      <c r="H28" s="230"/>
      <c r="I28" s="230"/>
      <c r="J28" s="230"/>
    </row>
    <row r="29" spans="1:10" ht="12.75">
      <c r="A29" s="230"/>
      <c r="B29" s="230"/>
      <c r="C29" s="230"/>
      <c r="D29" s="230"/>
      <c r="E29" s="230"/>
      <c r="F29" s="230"/>
      <c r="G29" s="230"/>
      <c r="H29" s="230"/>
      <c r="I29" s="230"/>
      <c r="J29" s="230"/>
    </row>
    <row r="30" spans="1:6" ht="12.75">
      <c r="A30" s="390"/>
      <c r="B30" s="390"/>
      <c r="C30" s="390"/>
      <c r="D30" s="390"/>
      <c r="E30" s="3"/>
      <c r="F30" s="3"/>
    </row>
    <row r="31" spans="1:6" ht="12.75">
      <c r="A31" s="3"/>
      <c r="B31" s="3"/>
      <c r="C31" s="3"/>
      <c r="D31" s="3"/>
      <c r="E31" s="3"/>
      <c r="F31" s="3"/>
    </row>
    <row r="32" spans="1:6" ht="12.75">
      <c r="A32" s="469"/>
      <c r="B32" s="469"/>
      <c r="C32" s="469"/>
      <c r="D32" s="469"/>
      <c r="E32" s="469"/>
      <c r="F32" s="3"/>
    </row>
    <row r="33" spans="1:6" ht="12.75">
      <c r="A33" s="470"/>
      <c r="B33" s="470"/>
      <c r="C33" s="470"/>
      <c r="D33" s="471"/>
      <c r="E33" s="470"/>
      <c r="F33" s="3"/>
    </row>
    <row r="34" spans="1:6" ht="12.75">
      <c r="A34" s="470" t="s">
        <v>398</v>
      </c>
      <c r="B34" s="470"/>
      <c r="C34" s="472">
        <f>Kvæg!G12-Kvæg!G9</f>
        <v>1853390.0000000002</v>
      </c>
      <c r="D34" s="471">
        <f>(Kvæg!D11+1)*Kvæg!C6*Kvæg!C50</f>
        <v>2683390</v>
      </c>
      <c r="E34" s="470"/>
      <c r="F34" s="19"/>
    </row>
    <row r="35" spans="1:6" ht="12.75">
      <c r="A35" s="470"/>
      <c r="B35" s="470"/>
      <c r="C35" s="472"/>
      <c r="D35" s="471"/>
      <c r="E35" s="470"/>
      <c r="F35" s="19"/>
    </row>
    <row r="36" spans="1:6" ht="12.75">
      <c r="A36" s="472"/>
      <c r="B36" s="470" t="s">
        <v>296</v>
      </c>
      <c r="C36" s="470"/>
      <c r="D36" s="471">
        <f>D34-C34</f>
        <v>829999.9999999998</v>
      </c>
      <c r="E36" s="470"/>
      <c r="F36" s="455"/>
    </row>
    <row r="37" spans="1:6" ht="12.75">
      <c r="A37" s="470"/>
      <c r="B37" s="470"/>
      <c r="C37" s="470"/>
      <c r="D37" s="470"/>
      <c r="E37" s="470"/>
      <c r="F37" s="455"/>
    </row>
    <row r="38" spans="1:6" ht="12.75">
      <c r="A38" s="470" t="s">
        <v>297</v>
      </c>
      <c r="B38" s="470"/>
      <c r="C38" s="472">
        <f>H16-H17</f>
        <v>815.5076100360602</v>
      </c>
      <c r="D38" s="473">
        <f>C38/D36*-1</f>
        <v>-0.000982539289200073</v>
      </c>
      <c r="E38" s="470"/>
      <c r="F38" s="455"/>
    </row>
    <row r="39" spans="1:6" ht="12.75">
      <c r="A39" s="470"/>
      <c r="B39" s="470"/>
      <c r="C39" s="470"/>
      <c r="D39" s="470"/>
      <c r="E39" s="470"/>
      <c r="F39" s="455"/>
    </row>
    <row r="40" spans="1:6" ht="12.75">
      <c r="A40" s="470"/>
      <c r="B40" s="470"/>
      <c r="C40" s="470"/>
      <c r="D40" s="474"/>
      <c r="F40" s="455"/>
    </row>
    <row r="41" spans="1:6" ht="12.75">
      <c r="A41" s="470" t="s">
        <v>399</v>
      </c>
      <c r="B41" s="470"/>
      <c r="C41" s="470"/>
      <c r="D41" s="474">
        <f>Kvæg!D6</f>
        <v>2.173</v>
      </c>
      <c r="E41" s="470"/>
      <c r="F41" s="455"/>
    </row>
    <row r="42" spans="1:6" ht="12.75">
      <c r="A42" s="470" t="s">
        <v>298</v>
      </c>
      <c r="B42" s="470"/>
      <c r="C42" s="470"/>
      <c r="D42" s="474">
        <f>D41+D38</f>
        <v>2.1720174607108</v>
      </c>
      <c r="E42" s="470"/>
      <c r="F42" s="455"/>
    </row>
    <row r="43" spans="1:6" ht="12.75">
      <c r="A43" s="470"/>
      <c r="B43" s="470"/>
      <c r="C43" s="470"/>
      <c r="D43" s="470"/>
      <c r="E43" s="470"/>
      <c r="F43" s="455"/>
    </row>
    <row r="44" spans="1:6" ht="12.75">
      <c r="A44" s="470" t="s">
        <v>299</v>
      </c>
      <c r="B44" s="470"/>
      <c r="C44" s="472">
        <f>C38-G19</f>
        <v>140460.5284245163</v>
      </c>
      <c r="D44" s="475">
        <f>C44/D36*-1</f>
        <v>-0.16922955231869438</v>
      </c>
      <c r="E44" s="470"/>
      <c r="F44" s="455"/>
    </row>
    <row r="45" spans="1:6" ht="12.75">
      <c r="A45" s="470"/>
      <c r="B45" s="470"/>
      <c r="C45" s="470"/>
      <c r="D45" s="474">
        <f>D41</f>
        <v>2.173</v>
      </c>
      <c r="E45" s="470"/>
      <c r="F45" s="455"/>
    </row>
    <row r="46" spans="1:6" ht="12.75">
      <c r="A46" s="470"/>
      <c r="B46" s="470"/>
      <c r="C46" s="470"/>
      <c r="D46" s="474">
        <f>SUM(D44:D45)</f>
        <v>2.0037704476813056</v>
      </c>
      <c r="E46" s="470"/>
      <c r="F46" s="455"/>
    </row>
    <row r="47" spans="1:6" ht="12.75">
      <c r="A47" s="470"/>
      <c r="B47" s="470"/>
      <c r="C47" s="470"/>
      <c r="D47" s="470"/>
      <c r="E47" s="470"/>
      <c r="F47" s="455"/>
    </row>
    <row r="48" spans="1:6" ht="12.75">
      <c r="A48" s="470"/>
      <c r="B48" s="470"/>
      <c r="C48" s="470"/>
      <c r="D48" s="470"/>
      <c r="E48" s="470"/>
      <c r="F48" s="455"/>
    </row>
    <row r="49" spans="1:6" ht="12.75">
      <c r="A49" s="469"/>
      <c r="B49" s="469"/>
      <c r="C49" s="469"/>
      <c r="D49" s="469"/>
      <c r="E49" s="469"/>
      <c r="F49" s="455"/>
    </row>
    <row r="50" spans="1:6" ht="12.75">
      <c r="A50" s="469"/>
      <c r="B50" s="469"/>
      <c r="C50" s="469"/>
      <c r="D50" s="469"/>
      <c r="E50" s="469"/>
      <c r="F50" s="455"/>
    </row>
    <row r="51" spans="1:6" ht="12.75">
      <c r="A51" s="469"/>
      <c r="B51" s="469"/>
      <c r="C51" s="469"/>
      <c r="D51" s="469"/>
      <c r="E51" s="469"/>
      <c r="F51" s="455"/>
    </row>
    <row r="52" spans="1:6" ht="12.75">
      <c r="A52" s="469"/>
      <c r="B52" s="469"/>
      <c r="C52" s="469"/>
      <c r="D52" s="469"/>
      <c r="E52" s="469"/>
      <c r="F52" s="455"/>
    </row>
    <row r="53" spans="1:6" ht="12.75">
      <c r="A53" s="469"/>
      <c r="B53" s="469"/>
      <c r="C53" s="469"/>
      <c r="D53" s="469"/>
      <c r="E53" s="469"/>
      <c r="F53" s="455"/>
    </row>
    <row r="54" spans="1:6" ht="12.75">
      <c r="A54" s="469"/>
      <c r="B54" s="469"/>
      <c r="C54" s="469"/>
      <c r="D54" s="469"/>
      <c r="E54" s="469"/>
      <c r="F54" s="455"/>
    </row>
    <row r="55" spans="1:6" ht="12.75">
      <c r="A55" s="469"/>
      <c r="B55" s="469"/>
      <c r="C55" s="469"/>
      <c r="D55" s="469"/>
      <c r="E55" s="469"/>
      <c r="F55" s="455"/>
    </row>
    <row r="56" spans="1:5" ht="12.75">
      <c r="A56" s="469"/>
      <c r="B56" s="469"/>
      <c r="C56" s="469"/>
      <c r="D56" s="469"/>
      <c r="E56" s="469"/>
    </row>
    <row r="57" spans="1:5" ht="12.75">
      <c r="A57" s="469"/>
      <c r="B57" s="469"/>
      <c r="C57" s="469"/>
      <c r="D57" s="469"/>
      <c r="E57" s="469"/>
    </row>
    <row r="58" spans="1:5" ht="12.75">
      <c r="A58" s="469"/>
      <c r="B58" s="469"/>
      <c r="C58" s="469"/>
      <c r="D58" s="469"/>
      <c r="E58" s="469"/>
    </row>
    <row r="59" spans="1:5" ht="12.75">
      <c r="A59" s="469"/>
      <c r="B59" s="469"/>
      <c r="C59" s="469"/>
      <c r="D59" s="469"/>
      <c r="E59" s="469"/>
    </row>
    <row r="60" spans="1:5" ht="12.75">
      <c r="A60" s="469"/>
      <c r="B60" s="469"/>
      <c r="C60" s="469"/>
      <c r="D60" s="469"/>
      <c r="E60" s="469"/>
    </row>
    <row r="61" spans="1:5" ht="12.75">
      <c r="A61" s="469"/>
      <c r="B61" s="469"/>
      <c r="C61" s="469"/>
      <c r="D61" s="469"/>
      <c r="E61" s="469"/>
    </row>
    <row r="62" spans="1:5" ht="12.75">
      <c r="A62" s="469"/>
      <c r="B62" s="469"/>
      <c r="C62" s="469"/>
      <c r="D62" s="469"/>
      <c r="E62" s="469"/>
    </row>
    <row r="63" spans="1:5" ht="12.75">
      <c r="A63" s="469"/>
      <c r="B63" s="469"/>
      <c r="C63" s="469"/>
      <c r="D63" s="469"/>
      <c r="E63" s="469"/>
    </row>
    <row r="64" spans="1:5" ht="12.75">
      <c r="A64" s="469"/>
      <c r="B64" s="469"/>
      <c r="C64" s="469"/>
      <c r="D64" s="469"/>
      <c r="E64" s="469"/>
    </row>
    <row r="65" spans="1:5" ht="12.75">
      <c r="A65" s="469"/>
      <c r="B65" s="469"/>
      <c r="C65" s="469"/>
      <c r="D65" s="469"/>
      <c r="E65" s="469"/>
    </row>
    <row r="66" spans="1:5" ht="12.75">
      <c r="A66" s="469"/>
      <c r="B66" s="469"/>
      <c r="C66" s="469"/>
      <c r="D66" s="469"/>
      <c r="E66" s="469"/>
    </row>
    <row r="67" spans="1:5" ht="12.75">
      <c r="A67" s="469"/>
      <c r="B67" s="469"/>
      <c r="C67" s="469"/>
      <c r="D67" s="469"/>
      <c r="E67" s="469"/>
    </row>
    <row r="68" spans="1:5" ht="12.75">
      <c r="A68" s="469"/>
      <c r="B68" s="469"/>
      <c r="C68" s="469"/>
      <c r="D68" s="469"/>
      <c r="E68" s="469"/>
    </row>
    <row r="69" spans="1:5" ht="12.75">
      <c r="A69" s="469"/>
      <c r="B69" s="469"/>
      <c r="C69" s="469"/>
      <c r="D69" s="469"/>
      <c r="E69" s="469"/>
    </row>
    <row r="70" spans="1:5" ht="12.75">
      <c r="A70" s="469"/>
      <c r="B70" s="469"/>
      <c r="C70" s="469"/>
      <c r="D70" s="469"/>
      <c r="E70" s="469"/>
    </row>
    <row r="71" spans="1:5" ht="12.75">
      <c r="A71" s="469"/>
      <c r="B71" s="469"/>
      <c r="C71" s="469"/>
      <c r="D71" s="469"/>
      <c r="E71" s="469"/>
    </row>
    <row r="72" spans="1:5" ht="12.75">
      <c r="A72" s="469"/>
      <c r="B72" s="469"/>
      <c r="C72" s="469"/>
      <c r="D72" s="469"/>
      <c r="E72" s="469"/>
    </row>
    <row r="73" spans="1:5" ht="12.75">
      <c r="A73" s="469"/>
      <c r="B73" s="469"/>
      <c r="C73" s="469"/>
      <c r="D73" s="469"/>
      <c r="E73" s="469"/>
    </row>
    <row r="74" spans="1:5" ht="12.75">
      <c r="A74" s="469"/>
      <c r="B74" s="469"/>
      <c r="C74" s="469"/>
      <c r="D74" s="469"/>
      <c r="E74" s="469"/>
    </row>
    <row r="75" spans="1:5" ht="12.75">
      <c r="A75" s="469"/>
      <c r="B75" s="469"/>
      <c r="C75" s="469"/>
      <c r="D75" s="469"/>
      <c r="E75" s="469"/>
    </row>
    <row r="76" spans="1:5" ht="12.75">
      <c r="A76" s="469"/>
      <c r="B76" s="469"/>
      <c r="C76" s="469"/>
      <c r="D76" s="469"/>
      <c r="E76" s="469"/>
    </row>
    <row r="77" spans="1:5" ht="12.75">
      <c r="A77" s="469"/>
      <c r="B77" s="469"/>
      <c r="C77" s="469"/>
      <c r="D77" s="469"/>
      <c r="E77" s="469"/>
    </row>
    <row r="78" spans="1:5" ht="12.75">
      <c r="A78" s="469"/>
      <c r="B78" s="469"/>
      <c r="C78" s="469"/>
      <c r="D78" s="469"/>
      <c r="E78" s="469"/>
    </row>
  </sheetData>
  <sheetProtection password="C79E" sheet="1"/>
  <hyperlinks>
    <hyperlink ref="A1" location="Start!A1" display="&lt;"/>
    <hyperlink ref="A22" location="Start!A1" display="&lt;"/>
  </hyperlinks>
  <printOptions/>
  <pageMargins left="0.75" right="0.75" top="1" bottom="1" header="0.5" footer="0.5"/>
  <pageSetup horizontalDpi="600" verticalDpi="600" orientation="portrait" paperSize="9" r:id="rId1"/>
  <headerFooter alignWithMargins="0">
    <oddFooter>&amp;L&amp;D</oddFooter>
  </headerFooter>
</worksheet>
</file>

<file path=xl/worksheets/sheet2.xml><?xml version="1.0" encoding="utf-8"?>
<worksheet xmlns="http://schemas.openxmlformats.org/spreadsheetml/2006/main" xmlns:r="http://schemas.openxmlformats.org/officeDocument/2006/relationships">
  <dimension ref="A2:A19"/>
  <sheetViews>
    <sheetView tabSelected="1" zoomScalePageLayoutView="0" workbookViewId="0" topLeftCell="A3">
      <selection activeCell="A19" sqref="A19"/>
    </sheetView>
  </sheetViews>
  <sheetFormatPr defaultColWidth="9.140625" defaultRowHeight="12.75"/>
  <sheetData>
    <row r="2" ht="12.75">
      <c r="A2" s="579" t="s">
        <v>422</v>
      </c>
    </row>
    <row r="4" ht="12.75">
      <c r="A4" s="579" t="s">
        <v>423</v>
      </c>
    </row>
    <row r="9" ht="12.75">
      <c r="A9" s="579" t="s">
        <v>424</v>
      </c>
    </row>
    <row r="14" ht="12.75">
      <c r="A14" s="579" t="s">
        <v>425</v>
      </c>
    </row>
    <row r="19" ht="12.75">
      <c r="A19" s="579" t="s">
        <v>426</v>
      </c>
    </row>
  </sheetData>
  <sheetProtection/>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J181"/>
  <sheetViews>
    <sheetView zoomScalePageLayoutView="0" workbookViewId="0" topLeftCell="A11">
      <selection activeCell="N17" sqref="N17"/>
    </sheetView>
  </sheetViews>
  <sheetFormatPr defaultColWidth="9.140625" defaultRowHeight="12.75"/>
  <cols>
    <col min="1" max="1" width="5.140625" style="0" customWidth="1"/>
    <col min="2" max="2" width="10.8515625" style="0" customWidth="1"/>
    <col min="3" max="3" width="10.00390625" style="0" customWidth="1"/>
    <col min="4" max="4" width="3.7109375" style="0" customWidth="1"/>
    <col min="10" max="10" width="9.00390625" style="0" customWidth="1"/>
    <col min="11" max="11" width="3.140625" style="0" customWidth="1"/>
    <col min="12" max="12" width="3.7109375" style="0" customWidth="1"/>
    <col min="13" max="14" width="10.28125" style="0" customWidth="1"/>
    <col min="15" max="15" width="10.7109375" style="0" customWidth="1"/>
    <col min="16" max="16" width="3.7109375" style="0" customWidth="1"/>
    <col min="17" max="17" width="3.8515625" style="0" customWidth="1"/>
    <col min="18" max="18" width="8.7109375" style="0" customWidth="1"/>
    <col min="19" max="19" width="10.140625" style="0" customWidth="1"/>
    <col min="20" max="20" width="10.7109375" style="0" customWidth="1"/>
    <col min="21" max="21" width="4.00390625" style="0" customWidth="1"/>
    <col min="22" max="22" width="3.421875" style="0" customWidth="1"/>
    <col min="23" max="23" width="8.57421875" style="0" customWidth="1"/>
    <col min="24" max="24" width="10.140625" style="0" customWidth="1"/>
    <col min="25" max="25" width="10.7109375" style="0" customWidth="1"/>
    <col min="26" max="27" width="3.7109375" style="0" customWidth="1"/>
    <col min="28" max="28" width="9.00390625" style="0" customWidth="1"/>
    <col min="29" max="29" width="10.140625" style="0" bestFit="1" customWidth="1"/>
    <col min="30" max="30" width="10.7109375" style="0" customWidth="1"/>
    <col min="31" max="31" width="3.7109375" style="0" customWidth="1"/>
    <col min="32" max="32" width="4.57421875" style="0" customWidth="1"/>
    <col min="34" max="34" width="10.00390625" style="0" customWidth="1"/>
    <col min="35" max="35" width="10.7109375" style="0" customWidth="1"/>
    <col min="36" max="36" width="3.8515625" style="0" customWidth="1"/>
    <col min="37" max="37" width="4.7109375" style="0" customWidth="1"/>
    <col min="39" max="39" width="10.140625" style="0" bestFit="1" customWidth="1"/>
    <col min="40" max="40" width="10.7109375" style="0" customWidth="1"/>
    <col min="41" max="41" width="3.421875" style="0" customWidth="1"/>
    <col min="42" max="42" width="4.7109375" style="0" customWidth="1"/>
    <col min="44" max="44" width="10.140625" style="0" bestFit="1" customWidth="1"/>
    <col min="45" max="45" width="10.7109375" style="0" customWidth="1"/>
    <col min="46" max="46" width="3.57421875" style="0" customWidth="1"/>
    <col min="47" max="47" width="4.7109375" style="0" customWidth="1"/>
    <col min="49" max="49" width="10.140625" style="0" bestFit="1" customWidth="1"/>
    <col min="50" max="50" width="10.7109375" style="0" customWidth="1"/>
    <col min="51" max="51" width="3.7109375" style="0" customWidth="1"/>
    <col min="52" max="52" width="4.7109375" style="0" customWidth="1"/>
    <col min="54" max="54" width="10.140625" style="0" bestFit="1" customWidth="1"/>
    <col min="55" max="55" width="10.7109375" style="0" customWidth="1"/>
    <col min="56" max="56" width="3.7109375" style="0" customWidth="1"/>
    <col min="57" max="57" width="4.7109375" style="0" customWidth="1"/>
    <col min="59" max="59" width="10.140625" style="0" bestFit="1" customWidth="1"/>
    <col min="60" max="60" width="10.7109375" style="0" customWidth="1"/>
  </cols>
  <sheetData>
    <row r="1" spans="1:35" ht="25.5" customHeight="1" thickBot="1">
      <c r="A1" s="91"/>
      <c r="B1" s="572" t="s">
        <v>0</v>
      </c>
      <c r="C1" s="573"/>
      <c r="D1" s="574"/>
      <c r="E1" s="91"/>
      <c r="F1" s="575"/>
      <c r="G1" s="575"/>
      <c r="H1" s="182"/>
      <c r="I1" s="578" t="s">
        <v>283</v>
      </c>
      <c r="J1" s="160"/>
      <c r="K1" s="91"/>
      <c r="L1" s="91"/>
      <c r="M1" s="91"/>
      <c r="N1" s="91"/>
      <c r="O1" s="91"/>
      <c r="P1" s="91"/>
      <c r="Q1" s="91"/>
      <c r="R1" s="91"/>
      <c r="S1" s="91"/>
      <c r="T1" s="91"/>
      <c r="U1" s="91"/>
      <c r="V1" s="91"/>
      <c r="W1" s="91"/>
      <c r="X1" s="91"/>
      <c r="Y1" s="91"/>
      <c r="Z1" s="91"/>
      <c r="AA1" s="91"/>
      <c r="AB1" s="91"/>
      <c r="AC1" s="91"/>
      <c r="AD1" s="91"/>
      <c r="AE1" s="91"/>
      <c r="AF1" s="91"/>
      <c r="AG1" s="91"/>
      <c r="AH1" s="91"/>
      <c r="AI1" s="91"/>
    </row>
    <row r="2" spans="1:35" ht="12.75" customHeight="1">
      <c r="A2" s="91"/>
      <c r="B2" s="157"/>
      <c r="C2" s="158"/>
      <c r="D2" s="158"/>
      <c r="E2" s="91"/>
      <c r="F2" s="122"/>
      <c r="G2" s="93"/>
      <c r="H2" s="93"/>
      <c r="I2" s="578"/>
      <c r="J2" s="123"/>
      <c r="K2" s="91"/>
      <c r="L2" s="91"/>
      <c r="M2" s="91"/>
      <c r="N2" s="91"/>
      <c r="O2" s="91"/>
      <c r="P2" s="91"/>
      <c r="Q2" s="91"/>
      <c r="R2" s="91"/>
      <c r="S2" s="91"/>
      <c r="T2" s="91"/>
      <c r="U2" s="91"/>
      <c r="V2" s="91"/>
      <c r="W2" s="91"/>
      <c r="X2" s="91"/>
      <c r="Y2" s="91"/>
      <c r="Z2" s="91"/>
      <c r="AA2" s="91"/>
      <c r="AB2" s="91"/>
      <c r="AC2" s="91"/>
      <c r="AD2" s="91"/>
      <c r="AE2" s="91"/>
      <c r="AF2" s="91"/>
      <c r="AG2" s="91"/>
      <c r="AH2" s="91"/>
      <c r="AI2" s="91"/>
    </row>
    <row r="3" spans="1:35" ht="12.75" customHeight="1">
      <c r="A3" s="91"/>
      <c r="B3" s="576" t="s">
        <v>210</v>
      </c>
      <c r="C3" s="576"/>
      <c r="D3" s="158"/>
      <c r="E3" s="91"/>
      <c r="F3" s="329"/>
      <c r="G3" s="329"/>
      <c r="H3" s="328"/>
      <c r="I3" s="329"/>
      <c r="J3" s="123"/>
      <c r="K3" s="91"/>
      <c r="L3" s="91"/>
      <c r="M3" s="91"/>
      <c r="N3" s="91"/>
      <c r="O3" s="91"/>
      <c r="P3" s="91"/>
      <c r="Q3" s="91"/>
      <c r="R3" s="91"/>
      <c r="S3" s="91"/>
      <c r="T3" s="91"/>
      <c r="U3" s="91"/>
      <c r="V3" s="91"/>
      <c r="W3" s="91"/>
      <c r="X3" s="91"/>
      <c r="Y3" s="91"/>
      <c r="Z3" s="91"/>
      <c r="AA3" s="91"/>
      <c r="AB3" s="91"/>
      <c r="AC3" s="91"/>
      <c r="AD3" s="91"/>
      <c r="AE3" s="91"/>
      <c r="AF3" s="91"/>
      <c r="AG3" s="91"/>
      <c r="AH3" s="91"/>
      <c r="AI3" s="91"/>
    </row>
    <row r="4" spans="1:35" ht="9.75" customHeight="1">
      <c r="A4" s="91"/>
      <c r="B4" s="157"/>
      <c r="C4" s="158"/>
      <c r="D4" s="158"/>
      <c r="E4" s="91"/>
      <c r="F4" s="122"/>
      <c r="G4" s="93"/>
      <c r="H4" s="93"/>
      <c r="I4" s="93"/>
      <c r="J4" s="123"/>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ht="17.25" customHeight="1">
      <c r="A5" s="91"/>
      <c r="B5" s="118" t="s">
        <v>257</v>
      </c>
      <c r="C5" s="120"/>
      <c r="D5" s="120"/>
      <c r="E5" s="119"/>
      <c r="F5" s="122"/>
      <c r="G5" s="159"/>
      <c r="H5" s="577" t="s">
        <v>258</v>
      </c>
      <c r="I5" s="577"/>
      <c r="J5" s="577"/>
      <c r="K5" s="91"/>
      <c r="L5" s="91"/>
      <c r="M5" s="91"/>
      <c r="N5" s="91"/>
      <c r="O5" s="91"/>
      <c r="P5" s="91"/>
      <c r="Q5" s="91"/>
      <c r="R5" s="91"/>
      <c r="S5" s="91"/>
      <c r="T5" s="91"/>
      <c r="U5" s="91"/>
      <c r="V5" s="91"/>
      <c r="W5" s="91"/>
      <c r="X5" s="91"/>
      <c r="Y5" s="91"/>
      <c r="Z5" s="91"/>
      <c r="AA5" s="91"/>
      <c r="AB5" s="91"/>
      <c r="AC5" s="91"/>
      <c r="AD5" s="91"/>
      <c r="AE5" s="91"/>
      <c r="AF5" s="91"/>
      <c r="AG5" s="91"/>
      <c r="AH5" s="91"/>
      <c r="AI5" s="91"/>
    </row>
    <row r="6" spans="1:35" s="222" customFormat="1" ht="14.25" customHeight="1">
      <c r="A6" s="215"/>
      <c r="B6" s="216"/>
      <c r="C6" s="217"/>
      <c r="D6" s="218"/>
      <c r="E6" s="219"/>
      <c r="F6" s="220"/>
      <c r="G6" s="221"/>
      <c r="H6" s="577"/>
      <c r="I6" s="577"/>
      <c r="J6" s="577"/>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row>
    <row r="7" spans="1:35" ht="12.75" customHeight="1">
      <c r="A7" s="91"/>
      <c r="B7" s="118" t="s">
        <v>313</v>
      </c>
      <c r="C7" s="119"/>
      <c r="D7" s="120"/>
      <c r="E7" s="121"/>
      <c r="F7" s="122"/>
      <c r="G7" s="93"/>
      <c r="H7" s="93"/>
      <c r="I7" s="93"/>
      <c r="J7" s="123"/>
      <c r="K7" s="91"/>
      <c r="L7" s="91"/>
      <c r="M7" s="91"/>
      <c r="N7" s="91"/>
      <c r="O7" s="91"/>
      <c r="P7" s="91"/>
      <c r="Q7" s="91"/>
      <c r="R7" s="183"/>
      <c r="S7" s="91"/>
      <c r="T7" s="91"/>
      <c r="U7" s="91"/>
      <c r="V7" s="91"/>
      <c r="W7" s="91"/>
      <c r="X7" s="91"/>
      <c r="Y7" s="91"/>
      <c r="Z7" s="91"/>
      <c r="AA7" s="91"/>
      <c r="AB7" s="91"/>
      <c r="AC7" s="91"/>
      <c r="AD7" s="91"/>
      <c r="AE7" s="91"/>
      <c r="AF7" s="91"/>
      <c r="AG7" s="91"/>
      <c r="AH7" s="91"/>
      <c r="AI7" s="91"/>
    </row>
    <row r="8" spans="1:35" ht="12.75" customHeight="1">
      <c r="A8" s="91"/>
      <c r="B8" s="118" t="s">
        <v>295</v>
      </c>
      <c r="C8" s="119"/>
      <c r="D8" s="120"/>
      <c r="E8" s="121"/>
      <c r="F8" s="122"/>
      <c r="G8" s="93"/>
      <c r="H8" s="93"/>
      <c r="I8" s="93"/>
      <c r="J8" s="123"/>
      <c r="K8" s="91"/>
      <c r="L8" s="91"/>
      <c r="M8" s="212"/>
      <c r="N8" s="121"/>
      <c r="O8" s="121"/>
      <c r="P8" s="121"/>
      <c r="Q8" s="121"/>
      <c r="R8" s="91"/>
      <c r="S8" s="91"/>
      <c r="T8" s="91"/>
      <c r="U8" s="91"/>
      <c r="V8" s="91"/>
      <c r="W8" s="91"/>
      <c r="X8" s="91"/>
      <c r="Y8" s="91"/>
      <c r="Z8" s="91"/>
      <c r="AA8" s="91"/>
      <c r="AB8" s="91"/>
      <c r="AC8" s="91"/>
      <c r="AD8" s="91"/>
      <c r="AE8" s="91"/>
      <c r="AF8" s="91"/>
      <c r="AG8" s="91"/>
      <c r="AH8" s="91"/>
      <c r="AI8" s="91"/>
    </row>
    <row r="9" spans="1:35" ht="12.75" customHeight="1">
      <c r="A9" s="91"/>
      <c r="B9" s="118" t="s">
        <v>294</v>
      </c>
      <c r="C9" s="119"/>
      <c r="D9" s="120"/>
      <c r="E9" s="121"/>
      <c r="F9" s="122"/>
      <c r="G9" s="571"/>
      <c r="H9" s="571"/>
      <c r="I9" s="571"/>
      <c r="J9" s="571"/>
      <c r="K9" s="91"/>
      <c r="L9" s="91"/>
      <c r="M9" s="212"/>
      <c r="N9" s="214"/>
      <c r="O9" s="121"/>
      <c r="P9" s="121"/>
      <c r="Q9" s="121"/>
      <c r="R9" s="91"/>
      <c r="S9" s="91"/>
      <c r="T9" s="91"/>
      <c r="U9" s="91"/>
      <c r="V9" s="91"/>
      <c r="W9" s="91"/>
      <c r="X9" s="91"/>
      <c r="Y9" s="91"/>
      <c r="Z9" s="91"/>
      <c r="AA9" s="91"/>
      <c r="AB9" s="91"/>
      <c r="AC9" s="91"/>
      <c r="AD9" s="91"/>
      <c r="AE9" s="91"/>
      <c r="AF9" s="91"/>
      <c r="AG9" s="91"/>
      <c r="AH9" s="91"/>
      <c r="AI9" s="91"/>
    </row>
    <row r="10" spans="1:35" ht="2.25" customHeight="1">
      <c r="A10" s="91"/>
      <c r="B10" s="118"/>
      <c r="C10" s="119"/>
      <c r="D10" s="120"/>
      <c r="E10" s="121"/>
      <c r="F10" s="122"/>
      <c r="G10" s="93"/>
      <c r="H10" s="93"/>
      <c r="I10" s="93"/>
      <c r="J10" s="123"/>
      <c r="K10" s="91"/>
      <c r="L10" s="91"/>
      <c r="M10" s="212"/>
      <c r="N10" s="121"/>
      <c r="O10" s="121"/>
      <c r="P10" s="121"/>
      <c r="Q10" s="121"/>
      <c r="R10" s="91"/>
      <c r="S10" s="91"/>
      <c r="T10" s="91"/>
      <c r="U10" s="91"/>
      <c r="V10" s="91"/>
      <c r="W10" s="91"/>
      <c r="X10" s="91"/>
      <c r="Y10" s="91"/>
      <c r="Z10" s="91"/>
      <c r="AA10" s="91"/>
      <c r="AB10" s="91"/>
      <c r="AC10" s="91"/>
      <c r="AD10" s="91"/>
      <c r="AE10" s="91"/>
      <c r="AF10" s="91"/>
      <c r="AG10" s="91"/>
      <c r="AH10" s="91"/>
      <c r="AI10" s="91"/>
    </row>
    <row r="11" spans="1:35" ht="2.25" customHeight="1">
      <c r="A11" s="91"/>
      <c r="B11" s="118"/>
      <c r="C11" s="119"/>
      <c r="D11" s="120"/>
      <c r="E11" s="121"/>
      <c r="F11" s="122"/>
      <c r="G11" s="93"/>
      <c r="H11" s="93"/>
      <c r="I11" s="93"/>
      <c r="J11" s="123"/>
      <c r="K11" s="91"/>
      <c r="L11" s="91"/>
      <c r="M11" s="212"/>
      <c r="N11" s="121"/>
      <c r="O11" s="121"/>
      <c r="P11" s="121"/>
      <c r="Q11" s="121"/>
      <c r="R11" s="91"/>
      <c r="S11" s="91"/>
      <c r="T11" s="91"/>
      <c r="U11" s="91"/>
      <c r="V11" s="91"/>
      <c r="W11" s="91"/>
      <c r="X11" s="91"/>
      <c r="Y11" s="91"/>
      <c r="Z11" s="91"/>
      <c r="AA11" s="91"/>
      <c r="AB11" s="91"/>
      <c r="AC11" s="91"/>
      <c r="AD11" s="91"/>
      <c r="AE11" s="91"/>
      <c r="AF11" s="91"/>
      <c r="AG11" s="91"/>
      <c r="AH11" s="91"/>
      <c r="AI11" s="91"/>
    </row>
    <row r="12" spans="1:35" ht="12.75" customHeight="1">
      <c r="A12" s="91"/>
      <c r="B12" s="112" t="s">
        <v>261</v>
      </c>
      <c r="C12" s="113"/>
      <c r="D12" s="113"/>
      <c r="E12" s="113"/>
      <c r="F12" s="113"/>
      <c r="G12" s="113"/>
      <c r="H12" s="113"/>
      <c r="I12" s="113"/>
      <c r="J12" s="114" t="s">
        <v>259</v>
      </c>
      <c r="K12" s="91"/>
      <c r="L12" s="91"/>
      <c r="M12" s="213"/>
      <c r="N12" s="118"/>
      <c r="O12" s="121"/>
      <c r="P12" s="121"/>
      <c r="Q12" s="121"/>
      <c r="R12" s="91"/>
      <c r="S12" s="91"/>
      <c r="T12" s="91"/>
      <c r="U12" s="91"/>
      <c r="V12" s="91"/>
      <c r="W12" s="91"/>
      <c r="X12" s="91"/>
      <c r="Y12" s="91"/>
      <c r="Z12" s="91"/>
      <c r="AA12" s="91"/>
      <c r="AB12" s="91"/>
      <c r="AC12" s="91"/>
      <c r="AD12" s="91"/>
      <c r="AE12" s="91"/>
      <c r="AF12" s="91"/>
      <c r="AG12" s="91"/>
      <c r="AH12" s="91"/>
      <c r="AI12" s="91"/>
    </row>
    <row r="13" spans="1:35" ht="12.75" customHeight="1">
      <c r="A13" s="91"/>
      <c r="B13" s="115" t="s">
        <v>260</v>
      </c>
      <c r="C13" s="116"/>
      <c r="D13" s="116"/>
      <c r="E13" s="116"/>
      <c r="F13" s="116"/>
      <c r="G13" s="116"/>
      <c r="H13" s="116"/>
      <c r="I13" s="116"/>
      <c r="J13" s="117"/>
      <c r="K13" s="91"/>
      <c r="L13" s="91"/>
      <c r="M13" s="214"/>
      <c r="N13" s="121"/>
      <c r="O13" s="121"/>
      <c r="P13" s="121"/>
      <c r="Q13" s="121"/>
      <c r="R13" s="91"/>
      <c r="S13" s="91"/>
      <c r="T13" s="91"/>
      <c r="U13" s="91"/>
      <c r="V13" s="91"/>
      <c r="W13" s="91"/>
      <c r="X13" s="91"/>
      <c r="Y13" s="91"/>
      <c r="Z13" s="91"/>
      <c r="AA13" s="91"/>
      <c r="AB13" s="91"/>
      <c r="AC13" s="91"/>
      <c r="AD13" s="91"/>
      <c r="AE13" s="91"/>
      <c r="AF13" s="91"/>
      <c r="AG13" s="91"/>
      <c r="AH13" s="91"/>
      <c r="AI13" s="91"/>
    </row>
    <row r="14" spans="1:35" ht="12.75" customHeight="1">
      <c r="A14" s="91"/>
      <c r="B14" s="115" t="s">
        <v>1</v>
      </c>
      <c r="C14" s="116"/>
      <c r="D14" s="116"/>
      <c r="E14" s="116"/>
      <c r="F14" s="116"/>
      <c r="G14" s="116"/>
      <c r="H14" s="116"/>
      <c r="I14" s="116"/>
      <c r="J14" s="117"/>
      <c r="K14" s="91"/>
      <c r="L14" s="91"/>
      <c r="M14" s="214"/>
      <c r="N14" s="121"/>
      <c r="O14" s="121"/>
      <c r="P14" s="121"/>
      <c r="Q14" s="101"/>
      <c r="R14" s="101"/>
      <c r="S14" s="150"/>
      <c r="T14" s="101"/>
      <c r="U14" s="91"/>
      <c r="V14" s="91"/>
      <c r="W14" s="91"/>
      <c r="X14" s="91"/>
      <c r="Y14" s="91"/>
      <c r="Z14" s="91"/>
      <c r="AA14" s="91"/>
      <c r="AB14" s="91"/>
      <c r="AC14" s="91"/>
      <c r="AD14" s="91"/>
      <c r="AE14" s="91"/>
      <c r="AF14" s="91"/>
      <c r="AG14" s="91"/>
      <c r="AH14" s="91"/>
      <c r="AI14" s="91"/>
    </row>
    <row r="15" spans="1:35" ht="12.75" customHeight="1">
      <c r="A15" s="101"/>
      <c r="B15" s="115" t="s">
        <v>2</v>
      </c>
      <c r="C15" s="116"/>
      <c r="D15" s="116"/>
      <c r="E15" s="116"/>
      <c r="F15" s="116"/>
      <c r="G15" s="116"/>
      <c r="H15" s="116"/>
      <c r="I15" s="116"/>
      <c r="J15" s="117"/>
      <c r="K15" s="91"/>
      <c r="L15" s="91"/>
      <c r="M15" s="214"/>
      <c r="N15" s="121"/>
      <c r="O15" s="121"/>
      <c r="P15" s="121"/>
      <c r="Q15" s="101"/>
      <c r="R15" s="101"/>
      <c r="S15" s="101"/>
      <c r="T15" s="225"/>
      <c r="U15" s="91"/>
      <c r="V15" s="91"/>
      <c r="W15" s="91"/>
      <c r="X15" s="91"/>
      <c r="Y15" s="91"/>
      <c r="Z15" s="91"/>
      <c r="AA15" s="91"/>
      <c r="AB15" s="91"/>
      <c r="AC15" s="91"/>
      <c r="AD15" s="91"/>
      <c r="AE15" s="91"/>
      <c r="AF15" s="91"/>
      <c r="AG15" s="91"/>
      <c r="AH15" s="91"/>
      <c r="AI15" s="91"/>
    </row>
    <row r="16" spans="1:35" ht="12.75">
      <c r="A16" s="101"/>
      <c r="B16" s="348" t="s">
        <v>231</v>
      </c>
      <c r="C16" s="111"/>
      <c r="D16" s="111"/>
      <c r="E16" s="111"/>
      <c r="F16" s="111"/>
      <c r="G16" s="111"/>
      <c r="H16" s="111"/>
      <c r="I16" s="111"/>
      <c r="J16" s="63"/>
      <c r="K16" s="91"/>
      <c r="L16" s="91"/>
      <c r="M16" s="214"/>
      <c r="N16" s="121"/>
      <c r="O16" s="121"/>
      <c r="P16" s="121"/>
      <c r="Q16" s="101"/>
      <c r="R16" s="101"/>
      <c r="S16" s="101"/>
      <c r="T16" s="149"/>
      <c r="U16" s="91"/>
      <c r="V16" s="91"/>
      <c r="W16" s="91"/>
      <c r="X16" s="91"/>
      <c r="Y16" s="91"/>
      <c r="Z16" s="91"/>
      <c r="AA16" s="91"/>
      <c r="AB16" s="91"/>
      <c r="AC16" s="91"/>
      <c r="AD16" s="91"/>
      <c r="AE16" s="91"/>
      <c r="AF16" s="91"/>
      <c r="AG16" s="91"/>
      <c r="AH16" s="91"/>
      <c r="AI16" s="91"/>
    </row>
    <row r="17" spans="1:35" ht="12.75">
      <c r="A17" s="101"/>
      <c r="B17" s="125"/>
      <c r="C17" s="101"/>
      <c r="D17" s="101"/>
      <c r="E17" s="101"/>
      <c r="F17" s="101"/>
      <c r="G17" s="101"/>
      <c r="H17" s="101"/>
      <c r="I17" s="101"/>
      <c r="J17" s="101"/>
      <c r="K17" s="91"/>
      <c r="L17" s="91"/>
      <c r="M17" s="214"/>
      <c r="N17" s="121"/>
      <c r="O17" s="121"/>
      <c r="P17" s="121"/>
      <c r="Q17" s="101"/>
      <c r="R17" s="101"/>
      <c r="S17" s="101"/>
      <c r="T17" s="149"/>
      <c r="U17" s="91"/>
      <c r="V17" s="91"/>
      <c r="W17" s="91"/>
      <c r="X17" s="91"/>
      <c r="Y17" s="91"/>
      <c r="Z17" s="91"/>
      <c r="AA17" s="91"/>
      <c r="AB17" s="91"/>
      <c r="AC17" s="91"/>
      <c r="AD17" s="91"/>
      <c r="AE17" s="91"/>
      <c r="AF17" s="91"/>
      <c r="AG17" s="91"/>
      <c r="AH17" s="91"/>
      <c r="AI17" s="191"/>
    </row>
    <row r="18" spans="1:35" ht="12.75">
      <c r="A18" s="101"/>
      <c r="B18" s="81" t="s">
        <v>254</v>
      </c>
      <c r="C18" s="77"/>
      <c r="D18" s="77"/>
      <c r="E18" s="77"/>
      <c r="F18" s="77"/>
      <c r="G18" s="78"/>
      <c r="H18" s="370"/>
      <c r="I18" s="101"/>
      <c r="J18" s="101"/>
      <c r="K18" s="91"/>
      <c r="L18" s="91"/>
      <c r="M18" s="214"/>
      <c r="N18" s="121"/>
      <c r="O18" s="121"/>
      <c r="P18" s="121"/>
      <c r="Q18" s="101"/>
      <c r="R18" s="101"/>
      <c r="S18" s="101"/>
      <c r="T18" s="149"/>
      <c r="U18" s="91"/>
      <c r="V18" s="91"/>
      <c r="W18" s="91"/>
      <c r="X18" s="91"/>
      <c r="Y18" s="91"/>
      <c r="Z18" s="91"/>
      <c r="AA18" s="91"/>
      <c r="AB18" s="91"/>
      <c r="AC18" s="91"/>
      <c r="AD18" s="91"/>
      <c r="AE18" s="91"/>
      <c r="AF18" s="91"/>
      <c r="AG18" s="91"/>
      <c r="AH18" s="91"/>
      <c r="AI18" s="91"/>
    </row>
    <row r="19" spans="1:35" ht="12.75">
      <c r="A19" s="101"/>
      <c r="B19" s="81" t="s">
        <v>255</v>
      </c>
      <c r="C19" s="77"/>
      <c r="D19" s="77"/>
      <c r="E19" s="374"/>
      <c r="F19" s="374"/>
      <c r="G19" s="367"/>
      <c r="H19" s="371"/>
      <c r="I19" s="214"/>
      <c r="J19" s="101"/>
      <c r="K19" s="91"/>
      <c r="L19" s="91"/>
      <c r="M19" s="214"/>
      <c r="N19" s="121"/>
      <c r="O19" s="121"/>
      <c r="P19" s="121"/>
      <c r="Q19" s="93"/>
      <c r="R19" s="101"/>
      <c r="S19" s="101"/>
      <c r="T19" s="126"/>
      <c r="U19" s="91"/>
      <c r="V19" s="91"/>
      <c r="W19" s="91"/>
      <c r="X19" s="91"/>
      <c r="Y19" s="91"/>
      <c r="Z19" s="91"/>
      <c r="AA19" s="91"/>
      <c r="AB19" s="91"/>
      <c r="AC19" s="91"/>
      <c r="AD19" s="91"/>
      <c r="AE19" s="91"/>
      <c r="AF19" s="91"/>
      <c r="AG19" s="91"/>
      <c r="AH19" s="91"/>
      <c r="AI19" s="91"/>
    </row>
    <row r="20" spans="1:35" ht="12.75">
      <c r="A20" s="124"/>
      <c r="B20" s="125"/>
      <c r="C20" s="101"/>
      <c r="D20" s="101"/>
      <c r="E20" s="101"/>
      <c r="F20" s="101"/>
      <c r="G20" s="101"/>
      <c r="H20" s="101"/>
      <c r="I20" s="101"/>
      <c r="J20" s="101"/>
      <c r="K20" s="91"/>
      <c r="L20" s="91"/>
      <c r="M20" s="211"/>
      <c r="N20" s="93"/>
      <c r="O20" s="93"/>
      <c r="P20" s="121"/>
      <c r="Q20" s="101"/>
      <c r="R20" s="101"/>
      <c r="S20" s="150"/>
      <c r="T20" s="126"/>
      <c r="U20" s="91"/>
      <c r="V20" s="91"/>
      <c r="W20" s="91"/>
      <c r="X20" s="91"/>
      <c r="Y20" s="91"/>
      <c r="Z20" s="91"/>
      <c r="AA20" s="91"/>
      <c r="AB20" s="91"/>
      <c r="AC20" s="91"/>
      <c r="AD20" s="91"/>
      <c r="AE20" s="91"/>
      <c r="AF20" s="91"/>
      <c r="AG20" s="91"/>
      <c r="AH20" s="91"/>
      <c r="AI20" s="91"/>
    </row>
    <row r="21" spans="1:35" ht="12.75">
      <c r="A21" s="204"/>
      <c r="B21" s="102" t="s">
        <v>3</v>
      </c>
      <c r="C21" s="77"/>
      <c r="D21" s="194"/>
      <c r="E21" s="388" t="s">
        <v>5</v>
      </c>
      <c r="F21" s="396"/>
      <c r="G21" s="397"/>
      <c r="H21" s="397"/>
      <c r="I21" s="397"/>
      <c r="J21" s="398"/>
      <c r="K21" s="91"/>
      <c r="L21" s="101"/>
      <c r="M21" s="93"/>
      <c r="N21" s="93"/>
      <c r="O21" s="93"/>
      <c r="P21" s="195"/>
      <c r="Q21" s="139"/>
      <c r="R21" s="91"/>
      <c r="S21" s="91"/>
      <c r="T21" s="91"/>
      <c r="U21" s="91"/>
      <c r="V21" s="91"/>
      <c r="W21" s="91"/>
      <c r="X21" s="91"/>
      <c r="Y21" s="91"/>
      <c r="Z21" s="91"/>
      <c r="AA21" s="91"/>
      <c r="AB21" s="91"/>
      <c r="AC21" s="91"/>
      <c r="AD21" s="91"/>
      <c r="AE21" s="91"/>
      <c r="AF21" s="91"/>
      <c r="AG21" s="91"/>
      <c r="AH21" s="91"/>
      <c r="AI21" s="91"/>
    </row>
    <row r="22" spans="1:35" ht="12.75">
      <c r="A22" s="204"/>
      <c r="B22" s="102" t="s">
        <v>4</v>
      </c>
      <c r="C22" s="77"/>
      <c r="D22" s="369" t="s">
        <v>200</v>
      </c>
      <c r="E22" s="466">
        <v>2011</v>
      </c>
      <c r="F22" s="568" t="s">
        <v>267</v>
      </c>
      <c r="G22" s="569"/>
      <c r="H22" s="569"/>
      <c r="I22" s="569"/>
      <c r="J22" s="570"/>
      <c r="K22" s="91"/>
      <c r="L22" s="101"/>
      <c r="M22" s="93"/>
      <c r="N22" s="476"/>
      <c r="O22" s="93"/>
      <c r="P22" s="121"/>
      <c r="Q22" s="121"/>
      <c r="R22" s="91"/>
      <c r="S22" s="91"/>
      <c r="T22" s="91"/>
      <c r="U22" s="91"/>
      <c r="V22" s="91"/>
      <c r="W22" s="91"/>
      <c r="X22" s="91"/>
      <c r="Y22" s="91"/>
      <c r="Z22" s="91"/>
      <c r="AA22" s="91"/>
      <c r="AB22" s="91"/>
      <c r="AC22" s="91"/>
      <c r="AD22" s="91"/>
      <c r="AE22" s="91"/>
      <c r="AF22" s="91"/>
      <c r="AG22" s="91"/>
      <c r="AH22" s="91"/>
      <c r="AI22" s="91"/>
    </row>
    <row r="23" spans="1:35" ht="12.75">
      <c r="A23" s="205"/>
      <c r="B23" s="108" t="s">
        <v>205</v>
      </c>
      <c r="C23" s="77"/>
      <c r="D23" s="78"/>
      <c r="E23" s="20">
        <v>96</v>
      </c>
      <c r="F23" s="80"/>
      <c r="G23" s="392"/>
      <c r="H23" s="51"/>
      <c r="I23" s="80"/>
      <c r="J23" s="80"/>
      <c r="K23" s="91"/>
      <c r="L23" s="101"/>
      <c r="M23" s="93"/>
      <c r="N23" s="93"/>
      <c r="O23" s="93"/>
      <c r="P23" s="121"/>
      <c r="Q23" s="121"/>
      <c r="R23" s="91"/>
      <c r="S23" s="91"/>
      <c r="T23" s="91"/>
      <c r="U23" s="91"/>
      <c r="V23" s="91"/>
      <c r="W23" s="91"/>
      <c r="X23" s="91"/>
      <c r="Y23" s="91"/>
      <c r="Z23" s="91"/>
      <c r="AA23" s="91"/>
      <c r="AB23" s="91"/>
      <c r="AC23" s="91"/>
      <c r="AD23" s="91"/>
      <c r="AE23" s="91"/>
      <c r="AF23" s="91"/>
      <c r="AG23" s="91"/>
      <c r="AH23" s="91"/>
      <c r="AI23" s="91"/>
    </row>
    <row r="24" spans="1:35" ht="12.75">
      <c r="A24" s="205"/>
      <c r="B24" s="104" t="s">
        <v>390</v>
      </c>
      <c r="C24" s="77"/>
      <c r="D24" s="105" t="s">
        <v>331</v>
      </c>
      <c r="E24" s="20">
        <v>100</v>
      </c>
      <c r="F24" s="82"/>
      <c r="G24" s="154"/>
      <c r="H24" s="73"/>
      <c r="I24" s="73"/>
      <c r="J24" s="73"/>
      <c r="K24" s="91"/>
      <c r="L24" s="101"/>
      <c r="M24" s="93"/>
      <c r="N24" s="211"/>
      <c r="O24" s="150"/>
      <c r="P24" s="119"/>
      <c r="Q24" s="101"/>
      <c r="R24" s="101"/>
      <c r="S24" s="150"/>
      <c r="T24" s="101"/>
      <c r="U24" s="91"/>
      <c r="V24" s="91"/>
      <c r="W24" s="91"/>
      <c r="X24" s="91"/>
      <c r="Y24" s="91"/>
      <c r="Z24" s="91"/>
      <c r="AA24" s="91"/>
      <c r="AB24" s="91"/>
      <c r="AC24" s="91"/>
      <c r="AD24" s="91"/>
      <c r="AE24" s="91"/>
      <c r="AF24" s="91"/>
      <c r="AG24" s="91"/>
      <c r="AH24" s="91"/>
      <c r="AI24" s="91"/>
    </row>
    <row r="25" spans="1:35" ht="12.75">
      <c r="A25" s="205"/>
      <c r="B25" s="546" t="s">
        <v>395</v>
      </c>
      <c r="C25" s="77"/>
      <c r="D25" s="105"/>
      <c r="E25" s="20"/>
      <c r="F25" s="20">
        <v>7000</v>
      </c>
      <c r="G25" s="154">
        <f>F25*E25</f>
        <v>0</v>
      </c>
      <c r="H25" s="73"/>
      <c r="I25" s="73"/>
      <c r="J25" s="73"/>
      <c r="K25" s="91"/>
      <c r="L25" s="101"/>
      <c r="M25" s="93"/>
      <c r="N25" s="211"/>
      <c r="O25" s="150"/>
      <c r="P25" s="119"/>
      <c r="Q25" s="101"/>
      <c r="R25" s="101"/>
      <c r="S25" s="150"/>
      <c r="T25" s="101"/>
      <c r="U25" s="91"/>
      <c r="V25" s="91"/>
      <c r="W25" s="91"/>
      <c r="X25" s="91"/>
      <c r="Y25" s="91"/>
      <c r="Z25" s="91"/>
      <c r="AA25" s="91"/>
      <c r="AB25" s="91"/>
      <c r="AC25" s="91"/>
      <c r="AD25" s="91"/>
      <c r="AE25" s="91"/>
      <c r="AF25" s="91"/>
      <c r="AG25" s="91"/>
      <c r="AH25" s="91"/>
      <c r="AI25" s="91"/>
    </row>
    <row r="26" spans="1:35" ht="12.75">
      <c r="A26" s="205"/>
      <c r="B26" s="546" t="s">
        <v>396</v>
      </c>
      <c r="C26" s="77"/>
      <c r="D26" s="105"/>
      <c r="E26" s="20"/>
      <c r="F26" s="20">
        <v>3000</v>
      </c>
      <c r="G26" s="154">
        <f>F26*E26</f>
        <v>0</v>
      </c>
      <c r="H26" s="73"/>
      <c r="I26" s="73"/>
      <c r="J26" s="73"/>
      <c r="K26" s="91"/>
      <c r="L26" s="101"/>
      <c r="M26" s="93"/>
      <c r="N26" s="211"/>
      <c r="O26" s="150"/>
      <c r="P26" s="119"/>
      <c r="Q26" s="101"/>
      <c r="R26" s="101"/>
      <c r="S26" s="150"/>
      <c r="T26" s="101"/>
      <c r="U26" s="91"/>
      <c r="V26" s="91"/>
      <c r="W26" s="91"/>
      <c r="X26" s="91"/>
      <c r="Y26" s="91"/>
      <c r="Z26" s="91"/>
      <c r="AA26" s="91"/>
      <c r="AB26" s="91"/>
      <c r="AC26" s="91"/>
      <c r="AD26" s="91"/>
      <c r="AE26" s="91"/>
      <c r="AF26" s="91"/>
      <c r="AG26" s="91"/>
      <c r="AH26" s="91"/>
      <c r="AI26" s="91"/>
    </row>
    <row r="27" spans="1:35" ht="12.75">
      <c r="A27" s="205"/>
      <c r="B27" s="567" t="s">
        <v>391</v>
      </c>
      <c r="C27" s="565"/>
      <c r="D27" s="566"/>
      <c r="E27" s="20"/>
      <c r="F27" s="82"/>
      <c r="G27" s="154"/>
      <c r="H27" s="73"/>
      <c r="I27" s="395">
        <v>9.81</v>
      </c>
      <c r="J27" s="395" t="s">
        <v>117</v>
      </c>
      <c r="K27" s="91"/>
      <c r="L27" s="101"/>
      <c r="M27" s="93"/>
      <c r="N27" s="211"/>
      <c r="O27" s="150"/>
      <c r="P27" s="119"/>
      <c r="Q27" s="101"/>
      <c r="R27" s="101"/>
      <c r="S27" s="150"/>
      <c r="T27" s="101"/>
      <c r="U27" s="91"/>
      <c r="V27" s="91"/>
      <c r="W27" s="91"/>
      <c r="X27" s="91"/>
      <c r="Y27" s="91"/>
      <c r="Z27" s="91"/>
      <c r="AA27" s="91"/>
      <c r="AB27" s="91"/>
      <c r="AC27" s="91"/>
      <c r="AD27" s="91"/>
      <c r="AE27" s="91"/>
      <c r="AF27" s="91"/>
      <c r="AG27" s="91"/>
      <c r="AH27" s="91"/>
      <c r="AI27" s="91"/>
    </row>
    <row r="28" spans="1:35" ht="12.75">
      <c r="A28" s="124"/>
      <c r="B28" s="104"/>
      <c r="C28" s="77"/>
      <c r="D28" s="78"/>
      <c r="E28" s="443" t="s">
        <v>262</v>
      </c>
      <c r="F28" s="161">
        <f>E22-1</f>
        <v>2010</v>
      </c>
      <c r="G28" s="161">
        <f>F28-1</f>
        <v>2009</v>
      </c>
      <c r="H28" s="161">
        <f>G28-1</f>
        <v>2008</v>
      </c>
      <c r="I28" s="161">
        <f>H28-1</f>
        <v>2007</v>
      </c>
      <c r="J28" s="161">
        <f>I28-1</f>
        <v>2006</v>
      </c>
      <c r="K28" s="91"/>
      <c r="L28" s="76" t="s">
        <v>216</v>
      </c>
      <c r="M28" s="44"/>
      <c r="N28" s="44"/>
      <c r="O28" s="45"/>
      <c r="P28" s="121"/>
      <c r="Q28" s="76" t="s">
        <v>213</v>
      </c>
      <c r="R28" s="77"/>
      <c r="S28" s="129"/>
      <c r="T28" s="78"/>
      <c r="U28" s="91"/>
      <c r="V28" s="91"/>
      <c r="W28" s="91"/>
      <c r="X28" s="91"/>
      <c r="Y28" s="91"/>
      <c r="Z28" s="91"/>
      <c r="AA28" s="91"/>
      <c r="AB28" s="91"/>
      <c r="AC28" s="91"/>
      <c r="AD28" s="91"/>
      <c r="AE28" s="91"/>
      <c r="AF28" s="91"/>
      <c r="AG28" s="91"/>
      <c r="AH28" s="91"/>
      <c r="AI28" s="91"/>
    </row>
    <row r="29" spans="1:35" ht="12.75">
      <c r="A29" s="124"/>
      <c r="B29" s="343" t="s">
        <v>192</v>
      </c>
      <c r="C29" s="107"/>
      <c r="D29" s="59"/>
      <c r="E29" s="131">
        <f>Mark!H62/1000</f>
        <v>638.2673000000001</v>
      </c>
      <c r="F29" s="344">
        <v>600</v>
      </c>
      <c r="G29" s="344"/>
      <c r="H29" s="344"/>
      <c r="I29" s="344"/>
      <c r="J29" s="344"/>
      <c r="K29" s="91"/>
      <c r="L29" s="91"/>
      <c r="M29" s="184" t="s">
        <v>214</v>
      </c>
      <c r="N29" s="224"/>
      <c r="O29" s="372">
        <v>1802030</v>
      </c>
      <c r="P29" s="121"/>
      <c r="Q29" s="91"/>
      <c r="R29" s="62" t="s">
        <v>212</v>
      </c>
      <c r="S29" s="111"/>
      <c r="T29" s="373"/>
      <c r="U29" s="91"/>
      <c r="V29" s="91"/>
      <c r="W29" s="91"/>
      <c r="X29" s="91"/>
      <c r="Y29" s="139"/>
      <c r="Z29" s="91"/>
      <c r="AA29" s="91"/>
      <c r="AB29" s="91"/>
      <c r="AC29" s="91"/>
      <c r="AD29" s="91"/>
      <c r="AE29" s="91"/>
      <c r="AF29" s="91"/>
      <c r="AG29" s="91"/>
      <c r="AH29" s="91"/>
      <c r="AI29" s="91"/>
    </row>
    <row r="30" spans="1:35" ht="12.75">
      <c r="A30" s="124"/>
      <c r="B30" s="108" t="s">
        <v>345</v>
      </c>
      <c r="C30" s="108"/>
      <c r="D30" s="78"/>
      <c r="E30" s="203">
        <f>Kvæg!G50/1000</f>
        <v>783.937</v>
      </c>
      <c r="F30" s="315">
        <v>900</v>
      </c>
      <c r="G30" s="315"/>
      <c r="H30" s="315"/>
      <c r="I30" s="315"/>
      <c r="J30" s="315"/>
      <c r="K30" s="91"/>
      <c r="L30" s="91"/>
      <c r="M30" s="184" t="s">
        <v>217</v>
      </c>
      <c r="N30" s="45"/>
      <c r="O30" s="372">
        <v>32177</v>
      </c>
      <c r="P30" s="101"/>
      <c r="Q30" s="91"/>
      <c r="R30" s="76" t="s">
        <v>221</v>
      </c>
      <c r="S30" s="78"/>
      <c r="T30" s="372"/>
      <c r="U30" s="101"/>
      <c r="V30" s="91"/>
      <c r="W30" s="91"/>
      <c r="X30" s="91"/>
      <c r="Y30" s="91"/>
      <c r="Z30" s="91"/>
      <c r="AA30" s="91"/>
      <c r="AB30" s="91"/>
      <c r="AC30" s="91"/>
      <c r="AD30" s="91"/>
      <c r="AE30" s="91"/>
      <c r="AF30" s="91"/>
      <c r="AG30" s="91"/>
      <c r="AH30" s="91"/>
      <c r="AI30" s="91"/>
    </row>
    <row r="31" spans="1:35" ht="12.75">
      <c r="A31" s="124"/>
      <c r="B31" s="103"/>
      <c r="C31" s="103"/>
      <c r="D31" s="78"/>
      <c r="E31" s="187"/>
      <c r="F31" s="316"/>
      <c r="G31" s="316"/>
      <c r="H31" s="316"/>
      <c r="I31" s="316"/>
      <c r="J31" s="316"/>
      <c r="K31" s="91"/>
      <c r="L31" s="91"/>
      <c r="M31" s="184" t="s">
        <v>218</v>
      </c>
      <c r="N31" s="224"/>
      <c r="O31" s="372">
        <v>18020</v>
      </c>
      <c r="P31" s="101"/>
      <c r="Q31" s="91"/>
      <c r="R31" s="76" t="s">
        <v>222</v>
      </c>
      <c r="S31" s="78"/>
      <c r="T31" s="372"/>
      <c r="U31" s="101"/>
      <c r="V31" s="91"/>
      <c r="W31" s="91"/>
      <c r="X31" s="91"/>
      <c r="Y31" s="91"/>
      <c r="Z31" s="91"/>
      <c r="AA31" s="91"/>
      <c r="AB31" s="91"/>
      <c r="AC31" s="91"/>
      <c r="AD31" s="91"/>
      <c r="AE31" s="91"/>
      <c r="AF31" s="91"/>
      <c r="AG31" s="91"/>
      <c r="AH31" s="91"/>
      <c r="AI31" s="91"/>
    </row>
    <row r="32" spans="1:35" ht="12.75">
      <c r="A32" s="124"/>
      <c r="B32" s="545" t="s">
        <v>393</v>
      </c>
      <c r="C32" s="103"/>
      <c r="D32" s="78"/>
      <c r="E32" s="187">
        <f>Kvæg!G72/1000</f>
        <v>0</v>
      </c>
      <c r="F32" s="316">
        <v>40</v>
      </c>
      <c r="G32" s="316"/>
      <c r="H32" s="316"/>
      <c r="I32" s="316"/>
      <c r="J32" s="316"/>
      <c r="K32" s="91"/>
      <c r="L32" s="91"/>
      <c r="M32" s="184" t="s">
        <v>215</v>
      </c>
      <c r="N32" s="78"/>
      <c r="O32" s="372">
        <v>3244</v>
      </c>
      <c r="P32" s="101"/>
      <c r="Q32" s="121"/>
      <c r="R32" s="76" t="s">
        <v>219</v>
      </c>
      <c r="S32" s="78"/>
      <c r="T32" s="141">
        <f>T30*T29</f>
        <v>0</v>
      </c>
      <c r="U32" s="101"/>
      <c r="V32" s="91"/>
      <c r="W32" s="91"/>
      <c r="X32" s="91"/>
      <c r="Y32" s="91"/>
      <c r="Z32" s="91"/>
      <c r="AA32" s="91"/>
      <c r="AB32" s="91"/>
      <c r="AC32" s="91"/>
      <c r="AD32" s="91"/>
      <c r="AE32" s="91"/>
      <c r="AF32" s="91"/>
      <c r="AG32" s="91"/>
      <c r="AH32" s="91"/>
      <c r="AI32" s="91"/>
    </row>
    <row r="33" spans="1:35" ht="12.75">
      <c r="A33" s="124"/>
      <c r="B33" s="103" t="s">
        <v>227</v>
      </c>
      <c r="C33" s="103"/>
      <c r="D33" s="78"/>
      <c r="E33" s="187">
        <f>Diverse!I30/1000</f>
        <v>0</v>
      </c>
      <c r="F33" s="316">
        <v>5</v>
      </c>
      <c r="G33" s="316"/>
      <c r="H33" s="316"/>
      <c r="I33" s="316"/>
      <c r="J33" s="316"/>
      <c r="K33" s="91"/>
      <c r="L33" s="101"/>
      <c r="M33" s="93"/>
      <c r="N33" s="211"/>
      <c r="O33" s="327">
        <f>IF(O29=0,"",(O31+O32)/O29)</f>
        <v>0.011800025526767035</v>
      </c>
      <c r="P33" s="101"/>
      <c r="Q33" s="101"/>
      <c r="R33" s="76" t="s">
        <v>220</v>
      </c>
      <c r="S33" s="130"/>
      <c r="T33" s="141">
        <f>T31*T29</f>
        <v>0</v>
      </c>
      <c r="U33" s="101"/>
      <c r="V33" s="91"/>
      <c r="W33" s="91"/>
      <c r="X33" s="91"/>
      <c r="Y33" s="91"/>
      <c r="Z33" s="91"/>
      <c r="AA33" s="91"/>
      <c r="AB33" s="91"/>
      <c r="AC33" s="91"/>
      <c r="AD33" s="91"/>
      <c r="AE33" s="91"/>
      <c r="AF33" s="91"/>
      <c r="AG33" s="91"/>
      <c r="AH33" s="91"/>
      <c r="AI33" s="91"/>
    </row>
    <row r="34" spans="1:39" ht="12.75">
      <c r="A34" s="205" t="s">
        <v>209</v>
      </c>
      <c r="B34" s="109"/>
      <c r="C34" s="109"/>
      <c r="D34" s="78"/>
      <c r="E34" s="187"/>
      <c r="F34" s="393"/>
      <c r="G34" s="394"/>
      <c r="H34" s="395"/>
      <c r="I34" s="395"/>
      <c r="J34" s="395"/>
      <c r="K34" s="91"/>
      <c r="L34" s="125" t="s">
        <v>256</v>
      </c>
      <c r="M34" s="101"/>
      <c r="N34" s="101"/>
      <c r="O34" s="464" t="s">
        <v>314</v>
      </c>
      <c r="P34" s="91"/>
      <c r="Q34" s="91"/>
      <c r="R34" s="91"/>
      <c r="S34" s="91"/>
      <c r="T34" s="91"/>
      <c r="U34" s="91"/>
      <c r="V34" s="91"/>
      <c r="W34" s="91"/>
      <c r="X34" s="91"/>
      <c r="Y34" s="91"/>
      <c r="Z34" s="91"/>
      <c r="AA34" s="91"/>
      <c r="AB34" s="91"/>
      <c r="AC34" s="91"/>
      <c r="AD34" s="91"/>
      <c r="AE34" s="91"/>
      <c r="AF34" s="91"/>
      <c r="AG34" s="91"/>
      <c r="AH34" s="91"/>
      <c r="AI34" s="91"/>
      <c r="AM34" s="4"/>
    </row>
    <row r="35" spans="1:60" ht="12.75">
      <c r="A35" s="101"/>
      <c r="B35" s="110" t="s">
        <v>7</v>
      </c>
      <c r="C35" s="111"/>
      <c r="D35" s="63"/>
      <c r="E35" s="134">
        <f aca="true" t="shared" si="0" ref="E35:J35">SUM(E29:E34)</f>
        <v>1422.2043</v>
      </c>
      <c r="F35" s="134">
        <f t="shared" si="0"/>
        <v>1545</v>
      </c>
      <c r="G35" s="134">
        <f t="shared" si="0"/>
        <v>0</v>
      </c>
      <c r="H35" s="134">
        <f t="shared" si="0"/>
        <v>0</v>
      </c>
      <c r="I35" s="134">
        <f t="shared" si="0"/>
        <v>0</v>
      </c>
      <c r="J35" s="134">
        <f t="shared" si="0"/>
        <v>0</v>
      </c>
      <c r="K35" s="214" t="s">
        <v>208</v>
      </c>
      <c r="L35" s="73"/>
      <c r="M35" s="76" t="s">
        <v>206</v>
      </c>
      <c r="N35" s="77"/>
      <c r="O35" s="78"/>
      <c r="P35" s="91"/>
      <c r="Q35" s="73"/>
      <c r="R35" s="76" t="s">
        <v>206</v>
      </c>
      <c r="S35" s="77"/>
      <c r="T35" s="78"/>
      <c r="U35" s="211" t="s">
        <v>208</v>
      </c>
      <c r="V35" s="73"/>
      <c r="W35" s="76" t="s">
        <v>206</v>
      </c>
      <c r="X35" s="77"/>
      <c r="Y35" s="78"/>
      <c r="Z35" s="101"/>
      <c r="AA35" s="73"/>
      <c r="AB35" s="76" t="s">
        <v>206</v>
      </c>
      <c r="AC35" s="77"/>
      <c r="AD35" s="78"/>
      <c r="AE35" s="211"/>
      <c r="AF35" s="73"/>
      <c r="AG35" s="76" t="s">
        <v>206</v>
      </c>
      <c r="AH35" s="77"/>
      <c r="AI35" s="78"/>
      <c r="AJ35" s="223" t="s">
        <v>208</v>
      </c>
      <c r="AK35" s="73"/>
      <c r="AL35" s="76" t="s">
        <v>206</v>
      </c>
      <c r="AM35" s="77"/>
      <c r="AN35" s="78"/>
      <c r="AO35" s="223" t="s">
        <v>208</v>
      </c>
      <c r="AP35" s="73"/>
      <c r="AQ35" s="76" t="s">
        <v>206</v>
      </c>
      <c r="AR35" s="77"/>
      <c r="AS35" s="78"/>
      <c r="AT35" s="223" t="s">
        <v>208</v>
      </c>
      <c r="AU35" s="73"/>
      <c r="AV35" s="76" t="s">
        <v>206</v>
      </c>
      <c r="AW35" s="77"/>
      <c r="AX35" s="78"/>
      <c r="AY35" s="223" t="s">
        <v>208</v>
      </c>
      <c r="AZ35" s="73"/>
      <c r="BA35" s="76" t="s">
        <v>206</v>
      </c>
      <c r="BB35" s="77"/>
      <c r="BC35" s="78"/>
      <c r="BD35" s="223" t="s">
        <v>208</v>
      </c>
      <c r="BE35" s="73"/>
      <c r="BF35" s="76" t="s">
        <v>206</v>
      </c>
      <c r="BG35" s="77"/>
      <c r="BH35" s="78"/>
    </row>
    <row r="36" spans="1:60" ht="12.75">
      <c r="A36" s="101"/>
      <c r="B36" s="125"/>
      <c r="C36" s="101"/>
      <c r="D36" s="101"/>
      <c r="E36" s="126"/>
      <c r="F36" s="126"/>
      <c r="G36" s="126"/>
      <c r="H36" s="126"/>
      <c r="I36" s="126"/>
      <c r="J36" s="126"/>
      <c r="K36" s="91"/>
      <c r="L36" s="73"/>
      <c r="M36" s="137" t="s">
        <v>303</v>
      </c>
      <c r="N36" s="127"/>
      <c r="O36" s="128"/>
      <c r="P36" s="139"/>
      <c r="Q36" s="84"/>
      <c r="R36" s="137" t="s">
        <v>291</v>
      </c>
      <c r="S36" s="127"/>
      <c r="T36" s="128"/>
      <c r="U36" s="145"/>
      <c r="V36" s="84"/>
      <c r="W36" s="137" t="s">
        <v>304</v>
      </c>
      <c r="X36" s="127"/>
      <c r="Y36" s="128"/>
      <c r="Z36" s="145"/>
      <c r="AA36" s="84"/>
      <c r="AB36" s="137" t="s">
        <v>306</v>
      </c>
      <c r="AC36" s="127"/>
      <c r="AD36" s="128"/>
      <c r="AE36" s="145"/>
      <c r="AF36" s="84"/>
      <c r="AG36" s="137" t="s">
        <v>305</v>
      </c>
      <c r="AH36" s="127"/>
      <c r="AI36" s="128"/>
      <c r="AK36" s="73"/>
      <c r="AL36" s="137" t="s">
        <v>402</v>
      </c>
      <c r="AM36" s="127"/>
      <c r="AN36" s="128"/>
      <c r="AP36" s="73"/>
      <c r="AQ36" s="137" t="s">
        <v>284</v>
      </c>
      <c r="AR36" s="127"/>
      <c r="AS36" s="128"/>
      <c r="AU36" s="73"/>
      <c r="AV36" s="137" t="s">
        <v>34</v>
      </c>
      <c r="AW36" s="127"/>
      <c r="AX36" s="128"/>
      <c r="AZ36" s="73"/>
      <c r="BA36" s="137" t="s">
        <v>207</v>
      </c>
      <c r="BB36" s="127"/>
      <c r="BC36" s="128"/>
      <c r="BE36" s="73"/>
      <c r="BF36" s="137" t="s">
        <v>291</v>
      </c>
      <c r="BG36" s="127"/>
      <c r="BH36" s="128"/>
    </row>
    <row r="37" spans="1:60" ht="12.75">
      <c r="A37" s="101"/>
      <c r="B37" s="549" t="s">
        <v>397</v>
      </c>
      <c r="C37" s="77"/>
      <c r="D37" s="78"/>
      <c r="E37" s="11">
        <v>205</v>
      </c>
      <c r="F37" s="317">
        <v>196</v>
      </c>
      <c r="G37" s="317"/>
      <c r="H37" s="317"/>
      <c r="I37" s="317"/>
      <c r="J37" s="317"/>
      <c r="K37" s="91"/>
      <c r="L37" s="73"/>
      <c r="M37" s="83" t="s">
        <v>170</v>
      </c>
      <c r="N37" s="24"/>
      <c r="O37" s="143">
        <f>IF(N37="x",1,"")</f>
      </c>
      <c r="P37" s="91"/>
      <c r="Q37" s="73"/>
      <c r="R37" s="48" t="s">
        <v>170</v>
      </c>
      <c r="S37" s="24"/>
      <c r="T37" s="143">
        <f>IF(S37="x",1,"")</f>
      </c>
      <c r="U37" s="100"/>
      <c r="V37" s="73"/>
      <c r="W37" s="83" t="s">
        <v>170</v>
      </c>
      <c r="X37" s="24"/>
      <c r="Y37" s="143">
        <f>IF(X37="x",1,"")</f>
      </c>
      <c r="Z37" s="148"/>
      <c r="AA37" s="73"/>
      <c r="AB37" s="83" t="s">
        <v>170</v>
      </c>
      <c r="AC37" s="24"/>
      <c r="AD37" s="143">
        <f>IF(AC37="x",1,"")</f>
      </c>
      <c r="AE37" s="151"/>
      <c r="AF37" s="73"/>
      <c r="AG37" s="58"/>
      <c r="AH37" s="49"/>
      <c r="AI37" s="59"/>
      <c r="AK37" s="73"/>
      <c r="AL37" s="83"/>
      <c r="AM37" s="83"/>
      <c r="AN37" s="330">
        <f>IF(AM37="x",1,"")</f>
      </c>
      <c r="AP37" s="73"/>
      <c r="AQ37" s="83" t="s">
        <v>170</v>
      </c>
      <c r="AR37" s="24"/>
      <c r="AS37" s="143">
        <f>IF(AR37="x",1,"")</f>
      </c>
      <c r="AU37" s="73"/>
      <c r="AV37" s="83" t="s">
        <v>170</v>
      </c>
      <c r="AW37" s="24"/>
      <c r="AX37" s="143">
        <f>IF(AW37="x",1,"")</f>
      </c>
      <c r="AZ37" s="73"/>
      <c r="BA37" s="83" t="s">
        <v>170</v>
      </c>
      <c r="BB37" s="24"/>
      <c r="BC37" s="143">
        <f>IF(BB37="x",1,"")</f>
      </c>
      <c r="BE37" s="73"/>
      <c r="BF37" s="58"/>
      <c r="BG37" s="49"/>
      <c r="BH37" s="59"/>
    </row>
    <row r="38" spans="1:60" ht="12.75">
      <c r="A38" s="124"/>
      <c r="B38" s="125"/>
      <c r="C38" s="101"/>
      <c r="D38" s="101"/>
      <c r="E38" s="444"/>
      <c r="F38" s="126"/>
      <c r="G38" s="126"/>
      <c r="H38" s="126"/>
      <c r="I38" s="126"/>
      <c r="J38" s="126"/>
      <c r="K38" s="91"/>
      <c r="L38" s="73"/>
      <c r="M38" s="83" t="s">
        <v>171</v>
      </c>
      <c r="N38" s="25" t="s">
        <v>59</v>
      </c>
      <c r="O38" s="143">
        <f>IF(N38="x",2,"")</f>
        <v>2</v>
      </c>
      <c r="P38" s="101"/>
      <c r="Q38" s="73"/>
      <c r="R38" s="48" t="s">
        <v>171</v>
      </c>
      <c r="S38" s="25" t="s">
        <v>59</v>
      </c>
      <c r="T38" s="143">
        <f>IF(S38="x",2,"")</f>
        <v>2</v>
      </c>
      <c r="U38" s="100"/>
      <c r="V38" s="73"/>
      <c r="W38" s="83" t="s">
        <v>171</v>
      </c>
      <c r="X38" s="25" t="s">
        <v>59</v>
      </c>
      <c r="Y38" s="143">
        <f>IF(X38="x",2,"")</f>
        <v>2</v>
      </c>
      <c r="Z38" s="148"/>
      <c r="AA38" s="73"/>
      <c r="AB38" s="83" t="s">
        <v>171</v>
      </c>
      <c r="AC38" s="25" t="s">
        <v>59</v>
      </c>
      <c r="AD38" s="143">
        <f>IF(AC38="x",2,"")</f>
        <v>2</v>
      </c>
      <c r="AE38" s="101"/>
      <c r="AF38" s="73"/>
      <c r="AG38" s="60"/>
      <c r="AH38" s="49"/>
      <c r="AI38" s="61"/>
      <c r="AK38" s="73"/>
      <c r="AL38" s="83" t="s">
        <v>171</v>
      </c>
      <c r="AM38" s="25"/>
      <c r="AN38" s="331">
        <f>IF(AM38="x",2,"")</f>
      </c>
      <c r="AP38" s="73"/>
      <c r="AQ38" s="83" t="s">
        <v>171</v>
      </c>
      <c r="AR38" s="25"/>
      <c r="AS38" s="143">
        <f>IF(AR38="x",2,"")</f>
      </c>
      <c r="AU38" s="73"/>
      <c r="AV38" s="83" t="s">
        <v>171</v>
      </c>
      <c r="AW38" s="25"/>
      <c r="AX38" s="143">
        <f>IF(AW38="x",2,"")</f>
      </c>
      <c r="AZ38" s="73"/>
      <c r="BA38" s="83" t="s">
        <v>171</v>
      </c>
      <c r="BB38" s="25"/>
      <c r="BC38" s="143">
        <f>IF(BB38="x",2,"")</f>
      </c>
      <c r="BE38" s="73"/>
      <c r="BF38" s="60"/>
      <c r="BG38" s="49"/>
      <c r="BH38" s="61"/>
    </row>
    <row r="39" spans="1:60" ht="12.75">
      <c r="A39" s="101"/>
      <c r="B39" s="102" t="s">
        <v>8</v>
      </c>
      <c r="C39" s="77"/>
      <c r="D39" s="78"/>
      <c r="E39" s="11"/>
      <c r="F39" s="316">
        <v>4</v>
      </c>
      <c r="G39" s="316"/>
      <c r="H39" s="316"/>
      <c r="I39" s="316"/>
      <c r="J39" s="316"/>
      <c r="K39" s="91"/>
      <c r="L39" s="73"/>
      <c r="M39" s="83">
        <v>6.12</v>
      </c>
      <c r="N39" s="24"/>
      <c r="O39" s="143">
        <f>IF(N39="x",3,"")</f>
      </c>
      <c r="P39" s="91"/>
      <c r="Q39" s="73"/>
      <c r="R39" s="48">
        <v>6.12</v>
      </c>
      <c r="S39" s="24"/>
      <c r="T39" s="143">
        <f>IF(S39="x",3,"")</f>
      </c>
      <c r="U39" s="100"/>
      <c r="V39" s="73"/>
      <c r="W39" s="83">
        <v>6.12</v>
      </c>
      <c r="X39" s="24"/>
      <c r="Y39" s="143">
        <f>IF(X39="x",3,"")</f>
      </c>
      <c r="Z39" s="148"/>
      <c r="AA39" s="73"/>
      <c r="AB39" s="83">
        <v>6.12</v>
      </c>
      <c r="AC39" s="24"/>
      <c r="AD39" s="143">
        <f>IF(AC39="x",3,"")</f>
      </c>
      <c r="AE39" s="151"/>
      <c r="AF39" s="73"/>
      <c r="AG39" s="60"/>
      <c r="AH39" s="49"/>
      <c r="AI39" s="420"/>
      <c r="AK39" s="73"/>
      <c r="AL39" s="553">
        <v>4.1</v>
      </c>
      <c r="AM39" s="24" t="s">
        <v>59</v>
      </c>
      <c r="AN39" s="331">
        <f>IF(AM39="x",3,"")</f>
        <v>3</v>
      </c>
      <c r="AP39" s="73"/>
      <c r="AQ39" s="83">
        <v>6.12</v>
      </c>
      <c r="AR39" s="24"/>
      <c r="AS39" s="143">
        <f>IF(AR39="x",3,"")</f>
      </c>
      <c r="AU39" s="73"/>
      <c r="AV39" s="83">
        <v>6.12</v>
      </c>
      <c r="AW39" s="24"/>
      <c r="AX39" s="143">
        <f>IF(AW39="x",3,"")</f>
      </c>
      <c r="AZ39" s="73"/>
      <c r="BA39" s="83">
        <v>6.12</v>
      </c>
      <c r="BB39" s="24"/>
      <c r="BC39" s="143">
        <f>IF(BB39="x",3,"")</f>
      </c>
      <c r="BE39" s="73"/>
      <c r="BF39" s="60"/>
      <c r="BG39" s="49"/>
      <c r="BH39" s="399"/>
    </row>
    <row r="40" spans="1:60" ht="12.75">
      <c r="A40" s="136"/>
      <c r="B40" s="125"/>
      <c r="C40" s="101"/>
      <c r="D40" s="101"/>
      <c r="E40" s="444"/>
      <c r="F40" s="126"/>
      <c r="G40" s="126"/>
      <c r="H40" s="126"/>
      <c r="I40" s="225"/>
      <c r="J40" s="126"/>
      <c r="K40" s="91"/>
      <c r="L40" s="73"/>
      <c r="M40" s="83" t="s">
        <v>172</v>
      </c>
      <c r="N40" s="24"/>
      <c r="O40" s="143">
        <f>IF(N40="x",4,"")</f>
      </c>
      <c r="P40" s="91"/>
      <c r="Q40" s="73"/>
      <c r="R40" s="48" t="s">
        <v>172</v>
      </c>
      <c r="S40" s="24"/>
      <c r="T40" s="143">
        <f>IF(S40="x",4,"")</f>
      </c>
      <c r="U40" s="100"/>
      <c r="V40" s="73"/>
      <c r="W40" s="83" t="s">
        <v>172</v>
      </c>
      <c r="X40" s="24"/>
      <c r="Y40" s="143">
        <f>IF(X40="x",4,"")</f>
      </c>
      <c r="Z40" s="148"/>
      <c r="AA40" s="73"/>
      <c r="AB40" s="83" t="s">
        <v>172</v>
      </c>
      <c r="AC40" s="24"/>
      <c r="AD40" s="143">
        <f>IF(AC40="x",4,"")</f>
      </c>
      <c r="AE40" s="101"/>
      <c r="AF40" s="73"/>
      <c r="AG40" s="62"/>
      <c r="AH40" s="49"/>
      <c r="AI40" s="421"/>
      <c r="AK40" s="73"/>
      <c r="AL40" s="83" t="s">
        <v>224</v>
      </c>
      <c r="AM40" s="24"/>
      <c r="AN40" s="554">
        <f>IF(AM40="x",4,"")</f>
      </c>
      <c r="AP40" s="73"/>
      <c r="AQ40" s="83" t="s">
        <v>172</v>
      </c>
      <c r="AR40" s="24"/>
      <c r="AS40" s="143">
        <f>IF(AR40="x",4,"")</f>
      </c>
      <c r="AU40" s="73"/>
      <c r="AV40" s="83" t="s">
        <v>172</v>
      </c>
      <c r="AW40" s="24"/>
      <c r="AX40" s="143">
        <f>IF(AW40="x",4,"")</f>
      </c>
      <c r="AZ40" s="73"/>
      <c r="BA40" s="83" t="s">
        <v>172</v>
      </c>
      <c r="BB40" s="24" t="s">
        <v>59</v>
      </c>
      <c r="BC40" s="143">
        <f>IF(BB40="x",4,"")</f>
        <v>4</v>
      </c>
      <c r="BE40" s="73"/>
      <c r="BF40" s="62"/>
      <c r="BG40" s="49"/>
      <c r="BH40" s="400"/>
    </row>
    <row r="41" spans="1:60" ht="12.75">
      <c r="A41" s="136"/>
      <c r="B41" s="106" t="s">
        <v>9</v>
      </c>
      <c r="C41" s="107"/>
      <c r="D41" s="59"/>
      <c r="E41" s="465" t="s">
        <v>315</v>
      </c>
      <c r="F41" s="132"/>
      <c r="G41" s="132"/>
      <c r="H41" s="132"/>
      <c r="I41" s="132"/>
      <c r="J41" s="133"/>
      <c r="K41" s="91"/>
      <c r="L41" s="73"/>
      <c r="M41" s="73" t="s">
        <v>168</v>
      </c>
      <c r="N41" s="20">
        <v>1078727</v>
      </c>
      <c r="O41" s="201" t="s">
        <v>176</v>
      </c>
      <c r="P41" s="91"/>
      <c r="Q41" s="73"/>
      <c r="R41" s="46" t="s">
        <v>168</v>
      </c>
      <c r="S41" s="20">
        <v>1802030</v>
      </c>
      <c r="T41" s="201" t="s">
        <v>176</v>
      </c>
      <c r="U41" s="101"/>
      <c r="V41" s="46"/>
      <c r="W41" s="46" t="s">
        <v>168</v>
      </c>
      <c r="X41" s="20">
        <v>1000000</v>
      </c>
      <c r="Y41" s="186" t="s">
        <v>176</v>
      </c>
      <c r="Z41" s="149"/>
      <c r="AA41" s="73"/>
      <c r="AB41" s="73" t="s">
        <v>168</v>
      </c>
      <c r="AC41" s="20">
        <v>4607269</v>
      </c>
      <c r="AD41" s="201" t="s">
        <v>176</v>
      </c>
      <c r="AE41" s="152"/>
      <c r="AF41" s="73"/>
      <c r="AG41" s="73" t="s">
        <v>168</v>
      </c>
      <c r="AH41" s="20">
        <v>1114667</v>
      </c>
      <c r="AI41" s="419" t="s">
        <v>176</v>
      </c>
      <c r="AK41" s="73"/>
      <c r="AL41" s="73" t="s">
        <v>168</v>
      </c>
      <c r="AM41" s="20"/>
      <c r="AN41" s="201" t="s">
        <v>176</v>
      </c>
      <c r="AP41" s="73"/>
      <c r="AQ41" s="73" t="s">
        <v>168</v>
      </c>
      <c r="AR41" s="20"/>
      <c r="AS41" s="201" t="s">
        <v>176</v>
      </c>
      <c r="AU41" s="73"/>
      <c r="AV41" s="73" t="s">
        <v>168</v>
      </c>
      <c r="AW41" s="20"/>
      <c r="AX41" s="201" t="s">
        <v>176</v>
      </c>
      <c r="AZ41" s="73"/>
      <c r="BA41" s="73" t="s">
        <v>168</v>
      </c>
      <c r="BB41" s="20"/>
      <c r="BC41" s="201" t="s">
        <v>176</v>
      </c>
      <c r="BE41" s="73"/>
      <c r="BF41" s="73" t="s">
        <v>168</v>
      </c>
      <c r="BG41" s="20"/>
      <c r="BH41" s="201" t="s">
        <v>176</v>
      </c>
    </row>
    <row r="42" spans="1:60" ht="12.75">
      <c r="A42" s="136"/>
      <c r="B42" s="413" t="s">
        <v>10</v>
      </c>
      <c r="C42" s="413"/>
      <c r="D42" s="414"/>
      <c r="E42" s="12">
        <v>60</v>
      </c>
      <c r="F42" s="315">
        <v>93</v>
      </c>
      <c r="G42" s="315"/>
      <c r="H42" s="315"/>
      <c r="I42" s="315"/>
      <c r="J42" s="315"/>
      <c r="K42" s="91"/>
      <c r="L42" s="73"/>
      <c r="M42" s="73" t="s">
        <v>163</v>
      </c>
      <c r="N42" s="20">
        <v>21301</v>
      </c>
      <c r="O42" s="201" t="s">
        <v>177</v>
      </c>
      <c r="P42" s="91"/>
      <c r="Q42" s="73"/>
      <c r="R42" s="46" t="s">
        <v>163</v>
      </c>
      <c r="S42" s="20">
        <v>31385</v>
      </c>
      <c r="T42" s="201" t="s">
        <v>177</v>
      </c>
      <c r="U42" s="101"/>
      <c r="V42" s="46"/>
      <c r="W42" s="46" t="s">
        <v>163</v>
      </c>
      <c r="X42" s="20">
        <v>5506</v>
      </c>
      <c r="Y42" s="186" t="s">
        <v>177</v>
      </c>
      <c r="Z42" s="149"/>
      <c r="AA42" s="73"/>
      <c r="AB42" s="73" t="s">
        <v>163</v>
      </c>
      <c r="AC42" s="20">
        <v>60846</v>
      </c>
      <c r="AD42" s="201" t="s">
        <v>177</v>
      </c>
      <c r="AE42" s="148"/>
      <c r="AF42" s="73"/>
      <c r="AG42" s="73"/>
      <c r="AH42" s="154"/>
      <c r="AI42" s="201" t="s">
        <v>177</v>
      </c>
      <c r="AK42" s="73"/>
      <c r="AL42" s="73" t="s">
        <v>163</v>
      </c>
      <c r="AM42" s="20"/>
      <c r="AN42" s="201" t="s">
        <v>177</v>
      </c>
      <c r="AP42" s="73"/>
      <c r="AQ42" s="73" t="s">
        <v>163</v>
      </c>
      <c r="AR42" s="20"/>
      <c r="AS42" s="201" t="s">
        <v>177</v>
      </c>
      <c r="AU42" s="73"/>
      <c r="AV42" s="73" t="s">
        <v>163</v>
      </c>
      <c r="AW42" s="20"/>
      <c r="AX42" s="201" t="s">
        <v>177</v>
      </c>
      <c r="AZ42" s="73"/>
      <c r="BA42" s="73" t="s">
        <v>163</v>
      </c>
      <c r="BB42" s="20"/>
      <c r="BC42" s="201" t="s">
        <v>177</v>
      </c>
      <c r="BE42" s="73"/>
      <c r="BF42" s="73" t="s">
        <v>163</v>
      </c>
      <c r="BG42" s="20"/>
      <c r="BH42" s="201" t="s">
        <v>177</v>
      </c>
    </row>
    <row r="43" spans="1:60" ht="12.75">
      <c r="A43" s="136"/>
      <c r="B43" s="413" t="s">
        <v>11</v>
      </c>
      <c r="C43" s="413"/>
      <c r="D43" s="414"/>
      <c r="E43" s="12">
        <v>22</v>
      </c>
      <c r="F43" s="315">
        <v>14</v>
      </c>
      <c r="G43" s="315"/>
      <c r="H43" s="315"/>
      <c r="I43" s="315"/>
      <c r="J43" s="315"/>
      <c r="K43" s="91"/>
      <c r="L43" s="73"/>
      <c r="M43" s="73" t="s">
        <v>169</v>
      </c>
      <c r="N43" s="9">
        <v>1.43</v>
      </c>
      <c r="O43" s="200">
        <f>F147*1000-N41</f>
        <v>8627273</v>
      </c>
      <c r="P43" s="91"/>
      <c r="Q43" s="73"/>
      <c r="R43" s="46" t="s">
        <v>169</v>
      </c>
      <c r="S43" s="467">
        <v>1.18</v>
      </c>
      <c r="T43" s="200">
        <f>O43-S41</f>
        <v>6825243</v>
      </c>
      <c r="U43" s="101"/>
      <c r="V43" s="46"/>
      <c r="W43" s="46" t="s">
        <v>169</v>
      </c>
      <c r="X43" s="9">
        <v>0.55</v>
      </c>
      <c r="Y43" s="202">
        <f>T43-X41</f>
        <v>5825243</v>
      </c>
      <c r="Z43" s="150"/>
      <c r="AA43" s="73"/>
      <c r="AB43" s="73" t="s">
        <v>169</v>
      </c>
      <c r="AC43" s="9">
        <v>0.5</v>
      </c>
      <c r="AD43" s="200">
        <f>Y43-AC41</f>
        <v>1217974</v>
      </c>
      <c r="AE43" s="126"/>
      <c r="AF43" s="73"/>
      <c r="AG43" s="73"/>
      <c r="AH43" s="84"/>
      <c r="AI43" s="200">
        <f>AD43-AH41</f>
        <v>103307</v>
      </c>
      <c r="AK43" s="73"/>
      <c r="AL43" s="73" t="s">
        <v>169</v>
      </c>
      <c r="AM43" s="9"/>
      <c r="AN43" s="200">
        <f>AI43-AM41</f>
        <v>103307</v>
      </c>
      <c r="AP43" s="73"/>
      <c r="AQ43" s="73" t="s">
        <v>169</v>
      </c>
      <c r="AR43" s="9"/>
      <c r="AS43" s="200">
        <f>AN43-AR41</f>
        <v>103307</v>
      </c>
      <c r="AU43" s="73"/>
      <c r="AV43" s="73" t="s">
        <v>169</v>
      </c>
      <c r="AW43" s="9"/>
      <c r="AX43" s="200">
        <f>AS43-AW41</f>
        <v>103307</v>
      </c>
      <c r="AZ43" s="73"/>
      <c r="BA43" s="73" t="s">
        <v>169</v>
      </c>
      <c r="BB43" s="9"/>
      <c r="BC43" s="200">
        <f>AX43-BB41</f>
        <v>103307</v>
      </c>
      <c r="BE43" s="73"/>
      <c r="BF43" s="73" t="s">
        <v>169</v>
      </c>
      <c r="BG43" s="9"/>
      <c r="BH43" s="200">
        <f>BC43-BG41</f>
        <v>103307</v>
      </c>
    </row>
    <row r="44" spans="1:60" ht="12.75">
      <c r="A44" s="136"/>
      <c r="B44" s="413" t="s">
        <v>12</v>
      </c>
      <c r="C44" s="413"/>
      <c r="D44" s="414"/>
      <c r="E44" s="12">
        <v>16</v>
      </c>
      <c r="F44" s="315">
        <v>11</v>
      </c>
      <c r="G44" s="315"/>
      <c r="H44" s="315"/>
      <c r="I44" s="315"/>
      <c r="J44" s="315"/>
      <c r="K44" s="91"/>
      <c r="L44" s="73"/>
      <c r="M44" s="83" t="s">
        <v>93</v>
      </c>
      <c r="N44" s="83" t="s">
        <v>95</v>
      </c>
      <c r="O44" s="73" t="s">
        <v>168</v>
      </c>
      <c r="P44" s="91"/>
      <c r="Q44" s="73"/>
      <c r="R44" s="48" t="s">
        <v>93</v>
      </c>
      <c r="S44" s="83" t="s">
        <v>95</v>
      </c>
      <c r="T44" s="73" t="s">
        <v>168</v>
      </c>
      <c r="U44" s="100"/>
      <c r="V44" s="46"/>
      <c r="W44" s="48" t="s">
        <v>93</v>
      </c>
      <c r="X44" s="48" t="s">
        <v>95</v>
      </c>
      <c r="Y44" s="46" t="s">
        <v>168</v>
      </c>
      <c r="Z44" s="100"/>
      <c r="AA44" s="73"/>
      <c r="AB44" s="83" t="s">
        <v>93</v>
      </c>
      <c r="AC44" s="83" t="s">
        <v>95</v>
      </c>
      <c r="AD44" s="73" t="s">
        <v>168</v>
      </c>
      <c r="AE44" s="101"/>
      <c r="AF44" s="73"/>
      <c r="AG44" s="83" t="s">
        <v>93</v>
      </c>
      <c r="AH44" s="83" t="s">
        <v>95</v>
      </c>
      <c r="AI44" s="73" t="s">
        <v>168</v>
      </c>
      <c r="AK44" s="73"/>
      <c r="AL44" s="83" t="s">
        <v>93</v>
      </c>
      <c r="AM44" s="83" t="s">
        <v>95</v>
      </c>
      <c r="AN44" s="73" t="s">
        <v>168</v>
      </c>
      <c r="AP44" s="73"/>
      <c r="AQ44" s="83" t="s">
        <v>93</v>
      </c>
      <c r="AR44" s="83" t="s">
        <v>95</v>
      </c>
      <c r="AS44" s="73" t="s">
        <v>168</v>
      </c>
      <c r="AU44" s="73"/>
      <c r="AV44" s="83" t="s">
        <v>93</v>
      </c>
      <c r="AW44" s="83" t="s">
        <v>95</v>
      </c>
      <c r="AX44" s="73" t="s">
        <v>168</v>
      </c>
      <c r="AZ44" s="73"/>
      <c r="BA44" s="83" t="s">
        <v>93</v>
      </c>
      <c r="BB44" s="83" t="s">
        <v>95</v>
      </c>
      <c r="BC44" s="73" t="s">
        <v>168</v>
      </c>
      <c r="BE44" s="73"/>
      <c r="BF44" s="83" t="s">
        <v>93</v>
      </c>
      <c r="BG44" s="83" t="s">
        <v>95</v>
      </c>
      <c r="BH44" s="73" t="s">
        <v>168</v>
      </c>
    </row>
    <row r="45" spans="1:62" ht="12.75">
      <c r="A45" s="346"/>
      <c r="B45" s="413" t="s">
        <v>14</v>
      </c>
      <c r="C45" s="413"/>
      <c r="D45" s="414"/>
      <c r="E45" s="12">
        <v>70</v>
      </c>
      <c r="F45" s="316">
        <v>153</v>
      </c>
      <c r="G45" s="316"/>
      <c r="H45" s="316"/>
      <c r="I45" s="316"/>
      <c r="J45" s="316"/>
      <c r="K45" s="91"/>
      <c r="L45" s="135" t="str">
        <f>L69</f>
        <v>jan</v>
      </c>
      <c r="M45" s="140" t="str">
        <f>IF(O40=4,N43*N41/100,IF(AND(O38=2,OR(L45="mar",L45="jun",L45="sep",L45="dec")),N41*N43/100,IF(AND(O39=3,OR(L45="jun",L45="dec")),N41*N43/100,IF(AND(O37=1,OR(L45="jan",L45="apr",L45="jul",L45="okt")),N41*N43/100,"0"))))</f>
        <v>0</v>
      </c>
      <c r="N45" s="140" t="str">
        <f>IF(M45="0","0",N42-M45)</f>
        <v>0</v>
      </c>
      <c r="O45" s="141">
        <f>N41-N45</f>
        <v>1078727</v>
      </c>
      <c r="P45" s="91"/>
      <c r="Q45" s="135" t="str">
        <f>L45</f>
        <v>jan</v>
      </c>
      <c r="R45" s="153" t="str">
        <f>IF(T40=4,S43*S41/100,IF(AND(T38=2,OR(Q45="mar",Q45="jun",Q45="sep",Q45="dec")),S41*S43/100,IF(AND(T39=3,OR(Q45="jun",Q45="dec")),S41*S43/100,IF(AND(T37=1,OR(Q45="jan",Q45="apr",Q45="jul",Q45="okt")),S41*S43/100,"0"))))</f>
        <v>0</v>
      </c>
      <c r="S45" s="140" t="str">
        <f>IF(R45="0","0",S42-R45)</f>
        <v>0</v>
      </c>
      <c r="T45" s="141">
        <f>S41-S45</f>
        <v>1802030</v>
      </c>
      <c r="U45" s="146"/>
      <c r="V45" s="65" t="str">
        <f>Q45</f>
        <v>jan</v>
      </c>
      <c r="W45" s="153" t="str">
        <f>IF(Y40=4,X43*X41/100,IF(AND(Y38=2,OR(V45="mar",V45="jun",V45="sep",V45="dec")),X41*X43/100,IF(AND(Y39=3,OR(V45="jun",V45="dec")),X41*X43/100,IF(AND(Y37=1,OR(V45="jan",V45="apr",V45="jul",V45="okt")),X41*X43/100,"0"))))</f>
        <v>0</v>
      </c>
      <c r="X45" s="153" t="str">
        <f>IF(W45="0","0",X42-W45)</f>
        <v>0</v>
      </c>
      <c r="Y45" s="74">
        <f>X41-X45</f>
        <v>1000000</v>
      </c>
      <c r="Z45" s="146"/>
      <c r="AA45" s="135" t="str">
        <f>V45</f>
        <v>jan</v>
      </c>
      <c r="AB45" s="140" t="str">
        <f>IF(AD40=4,AC43*AC41/100,IF(AND(AD38=2,OR(AA45="mar",AA45="jun",AA45="sep",AA45="dec")),AC41*AC43/100,IF(AND(AD39=3,OR(AA45="jun",AA45="dec")),AC41*AC43/100,IF(AND(AD37=1,OR(AA45="jan",AA45="apr",AA45="jul",AA45="okt")),AC41*AC43/100,"0"))))</f>
        <v>0</v>
      </c>
      <c r="AC45" s="140" t="str">
        <f>IF(AB45="0","0",AC42-AB45)</f>
        <v>0</v>
      </c>
      <c r="AD45" s="141">
        <f>AC41-AC45</f>
        <v>4607269</v>
      </c>
      <c r="AE45" s="146"/>
      <c r="AF45" s="135" t="str">
        <f>AA45</f>
        <v>jan</v>
      </c>
      <c r="AG45" s="21"/>
      <c r="AH45" s="21"/>
      <c r="AI45" s="140">
        <f>IF(AI39=AF45,AH41-AH45+AI40,AH41-AH45)</f>
        <v>1114667</v>
      </c>
      <c r="AK45" s="135" t="str">
        <f>AF45</f>
        <v>jan</v>
      </c>
      <c r="AL45" s="140" t="str">
        <f>IF($AN$40=4,$AM$43*$AM$41/100,IF(AND($AN$38=2,OR(AK45="mar",AK45="jun",AK45="sep",AK45="dec")),$AM$41*$AM$43/100,IF(AND($AN$39=3,OR(AK45="apr",AK45="okt")),$AM$41*$AM$43/100,IF(AND($AN$37=1,OR(AK45="apr",AK45="okt",AK45="jul",AK45="okt")),AM41*AM43/100,"0"))))</f>
        <v>0</v>
      </c>
      <c r="AM45" s="140" t="str">
        <f>IF(AL45="0","0",AM42-AL45)</f>
        <v>0</v>
      </c>
      <c r="AN45" s="141">
        <f>AM41-AM45</f>
        <v>0</v>
      </c>
      <c r="AP45" s="135" t="str">
        <f>AK45</f>
        <v>jan</v>
      </c>
      <c r="AQ45" s="140" t="str">
        <f>IF(AS40=4,AR43*AR41/100,IF(AND(AS38=2,OR(AP45="mar",AP45="jun",AP45="sep",AP45="dec")),AR41*AR43/100,IF(AND(AS39=3,OR(AP45="jun",AP45="dec")),AR41*AR43/100,IF(AND(AS37=1,OR(AP45="jan",AP45="apr",AP45="jul",AP45="okt")),AR41*AR43/100,"0"))))</f>
        <v>0</v>
      </c>
      <c r="AR45" s="140" t="str">
        <f>IF(AQ45="0","0",AR42-AQ45)</f>
        <v>0</v>
      </c>
      <c r="AS45" s="141">
        <f>AR41-AR45</f>
        <v>0</v>
      </c>
      <c r="AU45" s="135" t="str">
        <f>AP45</f>
        <v>jan</v>
      </c>
      <c r="AV45" s="140" t="str">
        <f>IF(AX40=4,AW43*AW41/100,IF(AND(AX38=2,OR(AU45="mar",AU45="jun",AU45="sep",AU45="dec")),AW41*AW43/100,IF(AND(AX39=3,OR(AU45="jun",AU45="dec")),AW41*AW43/100,IF(AND(AX37=1,OR(AU45="jan",AU45="apr",AU45="jul",AU45="okt")),AW41*AW43/100,"0"))))</f>
        <v>0</v>
      </c>
      <c r="AW45" s="140" t="str">
        <f>IF(AV45="0","0",AW42-AV45)</f>
        <v>0</v>
      </c>
      <c r="AX45" s="141">
        <f>AW41-AW45</f>
        <v>0</v>
      </c>
      <c r="AZ45" s="135" t="str">
        <f>AU45</f>
        <v>jan</v>
      </c>
      <c r="BA45" s="140">
        <f>IF(BC40=4,BB43*BB41/100,IF(AND(BC38=2,OR(AZ45="mar",AZ45="jun",AZ45="sep",AZ45="dec")),BB41*BB43/100,IF(AND(BC39=3,OR(AZ45="jun",AZ45="dec")),BB41*BB43/100,IF(AND(BC37=1,OR(AZ45="jan",AZ45="apr",AZ45="jul",AZ45="okt")),BB41*BB43/100,"0"))))</f>
        <v>0</v>
      </c>
      <c r="BB45" s="140">
        <f>IF(BA45="0","0",BB42-BA45)</f>
        <v>0</v>
      </c>
      <c r="BC45" s="141">
        <f>BB41-BB45</f>
        <v>0</v>
      </c>
      <c r="BE45" s="135" t="str">
        <f>AZ45</f>
        <v>jan</v>
      </c>
      <c r="BF45" s="21"/>
      <c r="BG45" s="21"/>
      <c r="BH45" s="141">
        <f>IF(BH39=BE45,BG41-BG45+BH40,BG41-BG45)</f>
        <v>0</v>
      </c>
      <c r="BI45" s="401" t="s">
        <v>232</v>
      </c>
      <c r="BJ45" s="401" t="s">
        <v>95</v>
      </c>
    </row>
    <row r="46" spans="1:62" ht="12.75">
      <c r="A46" s="346"/>
      <c r="B46" s="413" t="s">
        <v>270</v>
      </c>
      <c r="C46" s="413"/>
      <c r="D46" s="414"/>
      <c r="E46" s="12">
        <v>10</v>
      </c>
      <c r="F46" s="316">
        <v>9</v>
      </c>
      <c r="G46" s="316"/>
      <c r="H46" s="316"/>
      <c r="I46" s="316"/>
      <c r="J46" s="316"/>
      <c r="K46" s="91"/>
      <c r="L46" s="135" t="str">
        <f aca="true" t="shared" si="1" ref="L46:L56">L70</f>
        <v>feb</v>
      </c>
      <c r="M46" s="140" t="str">
        <f>IF(O40=4,O45*N43/100,IF(AND(O38=2,OR(L46="mar",L46="jun",L46="sep",L46="dec")),N41*N43/100,IF(AND(O39=3,OR(L46="jun",L46="dec")),N41*N43/100,IF(AND(O37=1,OR(L46="jan",L46="apr",L46="jul",L46="okt")),N41*N43/100,"0"))))</f>
        <v>0</v>
      </c>
      <c r="N46" s="140" t="str">
        <f>IF(M46="0","0",N42-M46)</f>
        <v>0</v>
      </c>
      <c r="O46" s="141">
        <f aca="true" t="shared" si="2" ref="O46:O56">O45-N46</f>
        <v>1078727</v>
      </c>
      <c r="P46" s="91"/>
      <c r="Q46" s="135" t="str">
        <f aca="true" t="shared" si="3" ref="Q46:Q56">L46</f>
        <v>feb</v>
      </c>
      <c r="R46" s="153" t="str">
        <f>IF(T40=4,T45*S43/100,IF(AND(T38=2,OR(Q46="mar",Q46="jun",Q46="sep",Q46="dec")),S41*S43/100,IF(AND(T39=3,OR(Q46="jun",Q46="dec")),S41*S43/100,IF(AND(T37=1,OR(Q46="jan",Q46="apr",Q46="jul",Q46="okt")),S41*S43/100,"0"))))</f>
        <v>0</v>
      </c>
      <c r="S46" s="140" t="str">
        <f>IF(R46="0","0",S42-R46)</f>
        <v>0</v>
      </c>
      <c r="T46" s="141">
        <f aca="true" t="shared" si="4" ref="T46:T56">T45-S46</f>
        <v>1802030</v>
      </c>
      <c r="U46" s="146"/>
      <c r="V46" s="65" t="str">
        <f aca="true" t="shared" si="5" ref="V46:V56">Q46</f>
        <v>feb</v>
      </c>
      <c r="W46" s="153" t="str">
        <f>IF(Y40=4,Y45*X43/100,IF(AND(Y38=2,OR(V46="mar",V46="jun",V46="sep",V46="dec")),X41*X43/100,IF(AND(Y39=3,OR(V46="jun",V46="dec")),X41*X43/100,IF(AND(Y37=1,OR(V46="jan",V46="apr",V46="jul",V46="okt")),X41*X43/100,"0"))))</f>
        <v>0</v>
      </c>
      <c r="X46" s="153" t="str">
        <f>IF(W46="0","0",X42-W46)</f>
        <v>0</v>
      </c>
      <c r="Y46" s="74">
        <f aca="true" t="shared" si="6" ref="Y46:Y56">Y45-X46</f>
        <v>1000000</v>
      </c>
      <c r="Z46" s="146"/>
      <c r="AA46" s="135" t="str">
        <f aca="true" t="shared" si="7" ref="AA46:AA56">V46</f>
        <v>feb</v>
      </c>
      <c r="AB46" s="140" t="str">
        <f>IF(AD40=4,AD45*AC43/100,IF(AND(AD38=2,OR(AA46="mar",AA46="jun",AA46="sep",AA46="dec")),AC41*AC43/100,IF(AND(AD39=3,OR(AA46="jun",AA46="dec")),AC41*AC43/100,IF(AND(AD37=1,OR(AA46="jan",AA46="apr",AA46="jul",AA46="okt")),AC41*AC43/100,"0"))))</f>
        <v>0</v>
      </c>
      <c r="AC46" s="140" t="str">
        <f>IF(AB46="0","0",AC42-AB46)</f>
        <v>0</v>
      </c>
      <c r="AD46" s="141">
        <f aca="true" t="shared" si="8" ref="AD46:AD56">AD45-AC46</f>
        <v>4607269</v>
      </c>
      <c r="AE46" s="126"/>
      <c r="AF46" s="135" t="str">
        <f aca="true" t="shared" si="9" ref="AF46:AF56">AA46</f>
        <v>feb</v>
      </c>
      <c r="AG46" s="21"/>
      <c r="AH46" s="21"/>
      <c r="AI46" s="140">
        <f>IF(AI39=AF46,AH41-AH46+AI40,AI45-AH46)</f>
        <v>1114667</v>
      </c>
      <c r="AK46" s="135" t="str">
        <f aca="true" t="shared" si="10" ref="AK46:AK56">AF46</f>
        <v>feb</v>
      </c>
      <c r="AL46" s="140" t="str">
        <f aca="true" t="shared" si="11" ref="AL46:AL56">IF($AN$40=4,$AM$43*$AM$41/100,IF(AND($AN$38=2,OR(AK46="mar",AK46="jun",AK46="sep",AK46="dec")),$AM$41*$AM$43/100,IF(AND($AN$39=3,OR(AK46="apr",AK46="okt")),$AM$41*$AM$43/100,IF(AND($AN$37=1,OR(AK46="apr",AK46="okt",AK46="jul",AK46="okt")),AM42*AM44/100,"0"))))</f>
        <v>0</v>
      </c>
      <c r="AM46" s="140" t="str">
        <f>IF(AL46="0","0",AM42-AL46)</f>
        <v>0</v>
      </c>
      <c r="AN46" s="141">
        <f aca="true" t="shared" si="12" ref="AN46:AN56">AN45-AM46</f>
        <v>0</v>
      </c>
      <c r="AP46" s="135" t="str">
        <f aca="true" t="shared" si="13" ref="AP46:AP56">AK46</f>
        <v>feb</v>
      </c>
      <c r="AQ46" s="140" t="str">
        <f>IF(AS40=4,AS45*AR43/100,IF(AND(AS38=2,OR(AP46="mar",AP46="jun",AP46="sep",AP46="dec")),AR41*AR43/100,IF(AND(AS39=3,OR(AP46="jun",AP46="dec")),AR41*AR43/100,IF(AND(AS37=1,OR(AP46="jan",AP46="apr",AP46="jul",AP46="okt")),AR41*AR43/100,"0"))))</f>
        <v>0</v>
      </c>
      <c r="AR46" s="140" t="str">
        <f>IF(AQ46="0","0",AR42-AQ46)</f>
        <v>0</v>
      </c>
      <c r="AS46" s="141">
        <f aca="true" t="shared" si="14" ref="AS46:AS56">AS45-AR46</f>
        <v>0</v>
      </c>
      <c r="AU46" s="135" t="str">
        <f aca="true" t="shared" si="15" ref="AU46:AU56">AP46</f>
        <v>feb</v>
      </c>
      <c r="AV46" s="140" t="str">
        <f>IF(AX40=4,AX45*AW43/100,IF(AND(AX38=2,OR(AU46="mar",AU46="jun",AU46="sep",AU46="dec")),AW41*AW43/100,IF(AND(AX39=3,OR(AU46="jun",AU46="dec")),AW41*AW43/100,IF(AND(AX37=1,OR(AU46="jan",AU46="apr",AU46="jul",AU46="okt")),AW41*AW43/100,"0"))))</f>
        <v>0</v>
      </c>
      <c r="AW46" s="140" t="str">
        <f>IF(AV46="0","0",AW42-AV46)</f>
        <v>0</v>
      </c>
      <c r="AX46" s="141">
        <f aca="true" t="shared" si="16" ref="AX46:AX56">AX45-AW46</f>
        <v>0</v>
      </c>
      <c r="AZ46" s="135" t="str">
        <f aca="true" t="shared" si="17" ref="AZ46:AZ56">AU46</f>
        <v>feb</v>
      </c>
      <c r="BA46" s="140">
        <f>IF(BC40=4,BC45*BB43/100,IF(AND(BC38=2,OR(AZ46="mar",AZ46="jun",AZ46="sep",AZ46="dec")),BB41*BB43/100,IF(AND(BC39=3,OR(AZ46="jun",AZ46="dec")),BB41*BB43/100,IF(AND(BC37=1,OR(AZ46="jan",AZ46="apr",AZ46="jul",AZ46="okt")),BB41*BB43/100,"0"))))</f>
        <v>0</v>
      </c>
      <c r="BB46" s="140">
        <f>IF(BA46="0","0",BB42-BA46)</f>
        <v>0</v>
      </c>
      <c r="BC46" s="141">
        <f aca="true" t="shared" si="18" ref="BC46:BC56">BC45-BB46</f>
        <v>0</v>
      </c>
      <c r="BE46" s="135" t="str">
        <f aca="true" t="shared" si="19" ref="BE46:BE56">AZ46</f>
        <v>feb</v>
      </c>
      <c r="BF46" s="21"/>
      <c r="BG46" s="21"/>
      <c r="BH46" s="141">
        <f>IF(BH39=BE46,BG41-BG46+BH40,BH45-BG46)</f>
        <v>0</v>
      </c>
      <c r="BI46" s="401" t="s">
        <v>166</v>
      </c>
      <c r="BJ46" s="401" t="s">
        <v>166</v>
      </c>
    </row>
    <row r="47" spans="1:62" ht="12.75">
      <c r="A47" s="346"/>
      <c r="B47" s="127" t="s">
        <v>312</v>
      </c>
      <c r="C47" s="127"/>
      <c r="D47" s="128"/>
      <c r="E47" s="12">
        <v>47</v>
      </c>
      <c r="F47" s="316">
        <v>61</v>
      </c>
      <c r="G47" s="316"/>
      <c r="H47" s="316"/>
      <c r="I47" s="316"/>
      <c r="J47" s="316"/>
      <c r="K47" s="91"/>
      <c r="L47" s="135" t="str">
        <f t="shared" si="1"/>
        <v>mar</v>
      </c>
      <c r="M47" s="140">
        <f>IF(O40=4,O46*N43/100,IF(AND(O38=2,OR(L47="mar",L47="jun",L47="sep",L47="dec")),O46*N43/100,IF(AND(O39=3,OR(L47="jun",L47="dec")),O46*N43/100,IF(AND(O37=1,OR(L47="jan",L47="apr",L47="jul",L47="okt")),O46*N43/100,"0"))))</f>
        <v>15425.7961</v>
      </c>
      <c r="N47" s="140">
        <f>IF(M47="0","0",N42-M47)</f>
        <v>5875.2039</v>
      </c>
      <c r="O47" s="141">
        <f t="shared" si="2"/>
        <v>1072851.7961</v>
      </c>
      <c r="P47" s="91"/>
      <c r="Q47" s="135" t="str">
        <f t="shared" si="3"/>
        <v>mar</v>
      </c>
      <c r="R47" s="153">
        <f>IF(T40=4,T46*S43/100,IF(AND(T38=2,OR(Q47="mar",Q47="jun",Q47="sep",Q47="dec")),T46*S43/100,IF(AND(T39=3,OR(Q47="jun",Q47="dec")),T46*S43/100,IF(AND(T37=1,OR(Q47="jan",Q47="apr",Q47="jul",Q47="okt")),T46*S43/100,"0"))))</f>
        <v>21263.953999999998</v>
      </c>
      <c r="S47" s="140">
        <f>IF(R47="0","0",S42-R47)</f>
        <v>10121.046000000002</v>
      </c>
      <c r="T47" s="141">
        <f t="shared" si="4"/>
        <v>1791908.954</v>
      </c>
      <c r="U47" s="146"/>
      <c r="V47" s="65" t="str">
        <f t="shared" si="5"/>
        <v>mar</v>
      </c>
      <c r="W47" s="153">
        <f>IF(Y40=4,Y46*X43/100,IF(AND(Y38=2,OR(V47="mar",V47="jun",V47="sep",V47="dec")),Y46*X43/100,IF(AND(Y39=3,OR(V47="jun",V47="dec")),Y46*X43/100,IF(AND(Y37=1,OR(V47="jan",V47="apr",V47="jul",V47="okt")),Y46*X43/100,"0"))))</f>
        <v>5500</v>
      </c>
      <c r="X47" s="153">
        <f>IF(W47="0","0",X42-W47)</f>
        <v>6</v>
      </c>
      <c r="Y47" s="74">
        <f t="shared" si="6"/>
        <v>999994</v>
      </c>
      <c r="Z47" s="146"/>
      <c r="AA47" s="135" t="str">
        <f t="shared" si="7"/>
        <v>mar</v>
      </c>
      <c r="AB47" s="140">
        <f>IF(AD40=4,AD46*AC43/100,IF(AND(AD38=2,OR(AA47="mar",AA47="jun",AA47="sep",AA47="dec")),AD46*AC43/100,IF(AND(AD39=3,OR(AA47="jun",AA47="dec")),AD46*AC43/100,IF(AND(AD37=1,OR(AA47="jan",AA47="apr",AA47="jul",AA47="okt")),AD46*AC43/100,"0"))))</f>
        <v>23036.345</v>
      </c>
      <c r="AC47" s="140">
        <f>IF(AB47="0","0",AC42-AB47)</f>
        <v>37809.655</v>
      </c>
      <c r="AD47" s="141">
        <f t="shared" si="8"/>
        <v>4569459.345</v>
      </c>
      <c r="AE47" s="126"/>
      <c r="AF47" s="135" t="str">
        <f t="shared" si="9"/>
        <v>mar</v>
      </c>
      <c r="AG47" s="21">
        <v>15410</v>
      </c>
      <c r="AH47" s="21"/>
      <c r="AI47" s="140">
        <f>IF(AI39=AF47,AH41-AH47+AI40,AI46-AH47)</f>
        <v>1114667</v>
      </c>
      <c r="AK47" s="135" t="str">
        <f t="shared" si="10"/>
        <v>mar</v>
      </c>
      <c r="AL47" s="140" t="str">
        <f t="shared" si="11"/>
        <v>0</v>
      </c>
      <c r="AM47" s="140" t="str">
        <f>IF(AL47="0","0",AM42-AL47)</f>
        <v>0</v>
      </c>
      <c r="AN47" s="141">
        <f t="shared" si="12"/>
        <v>0</v>
      </c>
      <c r="AP47" s="135" t="str">
        <f t="shared" si="13"/>
        <v>mar</v>
      </c>
      <c r="AQ47" s="140" t="str">
        <f>IF(AS40=4,AS46*AR43/100,IF(AND(AS38=2,OR(AP47="mar",AP47="jun",AP47="sep",AP47="dec")),AS46*AR43/100,IF(AND(AS39=3,OR(AP47="jun",AP47="dec")),AS46*AR43/100,IF(AND(AS37=1,OR(AP47="jan",AP47="apr",AP47="jul",AP47="okt")),AS46*AR43/100,"0"))))</f>
        <v>0</v>
      </c>
      <c r="AR47" s="140" t="str">
        <f>IF(AQ47="0","0",AR42-AQ47)</f>
        <v>0</v>
      </c>
      <c r="AS47" s="141">
        <f t="shared" si="14"/>
        <v>0</v>
      </c>
      <c r="AU47" s="135" t="str">
        <f t="shared" si="15"/>
        <v>mar</v>
      </c>
      <c r="AV47" s="140" t="str">
        <f>IF(AX40=4,AX46*AW43/100,IF(AND(AX38=2,OR(AU47="mar",AU47="jun",AU47="sep",AU47="dec")),AX46*AW43/100,IF(AND(AX39=3,OR(AU47="jun",AU47="dec")),AX46*AW43/100,IF(AND(AX37=1,OR(AU47="jan",AU47="apr",AU47="jul",AU47="okt")),AX46*AW43/100,"0"))))</f>
        <v>0</v>
      </c>
      <c r="AW47" s="140" t="str">
        <f>IF(AV47="0","0",AW42-AV47)</f>
        <v>0</v>
      </c>
      <c r="AX47" s="141">
        <f t="shared" si="16"/>
        <v>0</v>
      </c>
      <c r="AZ47" s="135" t="str">
        <f t="shared" si="17"/>
        <v>mar</v>
      </c>
      <c r="BA47" s="140">
        <f>IF(BC40=4,BC46*BB43/100,IF(AND(BC38=2,OR(AZ47="mar",AZ47="jun",AZ47="sep",AZ47="dec")),BC46*BB43/100,IF(AND(BC39=3,OR(AZ47="jun",AZ47="dec")),BC46*BB43/100,IF(AND(BC37=1,OR(AZ47="jan",AZ47="apr",AZ47="jul",AZ47="okt")),BC46*BB43/100,"0"))))</f>
        <v>0</v>
      </c>
      <c r="BB47" s="140">
        <f>IF(BA47="0","0",BB42-BA47)</f>
        <v>0</v>
      </c>
      <c r="BC47" s="141">
        <f t="shared" si="18"/>
        <v>0</v>
      </c>
      <c r="BE47" s="135" t="str">
        <f t="shared" si="19"/>
        <v>mar</v>
      </c>
      <c r="BF47" s="21"/>
      <c r="BG47" s="21"/>
      <c r="BH47" s="141">
        <f>IF(BH39=BE47,BG41-BG47+BH40,BH46-BG47)</f>
        <v>0</v>
      </c>
      <c r="BI47" s="18">
        <f>M45+R45+W45+AB45+AG45+AL45+AQ45+AV45+BA45+BF45</f>
        <v>0</v>
      </c>
      <c r="BJ47" s="18">
        <f>N45+S45+X45+AC45+AH45+AM45+AW45+BB45+BG45+AR45</f>
        <v>0</v>
      </c>
    </row>
    <row r="48" spans="1:62" ht="12.75">
      <c r="A48" s="346"/>
      <c r="B48" s="127" t="s">
        <v>271</v>
      </c>
      <c r="C48" s="127"/>
      <c r="D48" s="128"/>
      <c r="E48" s="12"/>
      <c r="F48" s="316"/>
      <c r="G48" s="316"/>
      <c r="H48" s="316"/>
      <c r="I48" s="316"/>
      <c r="J48" s="316"/>
      <c r="K48" s="91"/>
      <c r="L48" s="135" t="str">
        <f t="shared" si="1"/>
        <v>apr</v>
      </c>
      <c r="M48" s="140" t="str">
        <f>IF(O40=4,O47*N43/100,IF(AND(O38=2,OR(L48="mar",L48="jun",L48="sep",L48="dec")),O47*N43/100,IF(AND(O39=3,OR(L48="jun",L48="dec")),O47*N43/100,IF(AND(O37=1,OR(L48="jan",L48="apr",L48="jul",L48="okt")),O47*N43/100,"0"))))</f>
        <v>0</v>
      </c>
      <c r="N48" s="140" t="str">
        <f>IF(M48="0","0",N42-M48)</f>
        <v>0</v>
      </c>
      <c r="O48" s="141">
        <f>O47-N48</f>
        <v>1072851.7961</v>
      </c>
      <c r="P48" s="91"/>
      <c r="Q48" s="135" t="str">
        <f t="shared" si="3"/>
        <v>apr</v>
      </c>
      <c r="R48" s="153" t="str">
        <f>IF(T40=4,T47*S43/100,IF(AND(T38=2,OR(Q48="mar",Q48="jun",Q48="sep",Q48="dec")),T47*S43/100,IF(AND(T39=3,OR(Q48="jun",Q48="dec")),T47*S43/100,IF(AND(T37=1,OR(Q48="jan",Q48="apr",Q48="jul",Q48="okt")),T47*S43/100,"0"))))</f>
        <v>0</v>
      </c>
      <c r="S48" s="140" t="str">
        <f>IF(R48="0","0",S42-R48)</f>
        <v>0</v>
      </c>
      <c r="T48" s="141">
        <f>T47-S48</f>
        <v>1791908.954</v>
      </c>
      <c r="U48" s="146"/>
      <c r="V48" s="65" t="str">
        <f t="shared" si="5"/>
        <v>apr</v>
      </c>
      <c r="W48" s="153" t="str">
        <f>IF(Y40=4,Y47*X43/100,IF(AND(Y38=2,OR(V48="mar",V48="jun",V48="sep",V48="dec")),Y47*X43/100,IF(AND(Y39=3,OR(V48="jun",V48="dec")),Y47*X43/100,IF(AND(Y37=1,OR(V48="jan",V48="apr",V48="jul",V48="okt")),Y47*X43/100,"0"))))</f>
        <v>0</v>
      </c>
      <c r="X48" s="153" t="str">
        <f>IF(W48="0","0",X42-W48)</f>
        <v>0</v>
      </c>
      <c r="Y48" s="74">
        <f>Y47-X48</f>
        <v>999994</v>
      </c>
      <c r="Z48" s="146"/>
      <c r="AA48" s="135" t="str">
        <f t="shared" si="7"/>
        <v>apr</v>
      </c>
      <c r="AB48" s="140" t="str">
        <f>IF(AD40=4,AD47*AC43/100,IF(AND(AD38=2,OR(AA48="mar",AA48="jun",AA48="sep",AA48="dec")),AD47*AC43/100,IF(AND(AD39=3,OR(AA48="jun",AA48="dec")),AD47*AC43/100,IF(AND(AD37=1,OR(AA48="jan",AA48="apr",AA48="jul",AA48="okt")),AD47*AC43/100,"0"))))</f>
        <v>0</v>
      </c>
      <c r="AC48" s="140" t="str">
        <f>IF(AB48="0","0",AC42-AB48)</f>
        <v>0</v>
      </c>
      <c r="AD48" s="141">
        <f>AD47-AC48</f>
        <v>4569459.345</v>
      </c>
      <c r="AE48" s="126"/>
      <c r="AF48" s="135" t="str">
        <f t="shared" si="9"/>
        <v>apr</v>
      </c>
      <c r="AG48" s="21"/>
      <c r="AH48" s="21"/>
      <c r="AI48" s="140">
        <f>IF(AI39=AF48,AH41-AH48+AI40,AI47-AH48)</f>
        <v>1114667</v>
      </c>
      <c r="AK48" s="135" t="str">
        <f t="shared" si="10"/>
        <v>apr</v>
      </c>
      <c r="AL48" s="140">
        <f t="shared" si="11"/>
        <v>0</v>
      </c>
      <c r="AM48" s="140">
        <f>IF(AL48="0","0",AM42-AL48)</f>
        <v>0</v>
      </c>
      <c r="AN48" s="141">
        <f>AN47-AM48</f>
        <v>0</v>
      </c>
      <c r="AP48" s="135" t="str">
        <f t="shared" si="13"/>
        <v>apr</v>
      </c>
      <c r="AQ48" s="140" t="str">
        <f>IF(AS40=4,AS47*AR43/100,IF(AND(AS38=2,OR(AP48="mar",AP48="jun",AP48="sep",AP48="dec")),AS47*AR43/100,IF(AND(AS39=3,OR(AP48="jun",AP48="dec")),AS47*AR43/100,IF(AND(AS37=1,OR(AP48="jan",AP48="apr",AP48="jul",AP48="okt")),AS47*AR43/100,"0"))))</f>
        <v>0</v>
      </c>
      <c r="AR48" s="140" t="str">
        <f>IF(AQ48="0","0",AR42-AQ48)</f>
        <v>0</v>
      </c>
      <c r="AS48" s="141">
        <f>AS47-AR48</f>
        <v>0</v>
      </c>
      <c r="AU48" s="135" t="str">
        <f t="shared" si="15"/>
        <v>apr</v>
      </c>
      <c r="AV48" s="140" t="str">
        <f>IF(AX40=4,AX47*AW43/100,IF(AND(AX38=2,OR(AU48="mar",AU48="jun",AU48="sep",AU48="dec")),AX47*AW43/100,IF(AND(AX39=3,OR(AU48="jun",AU48="dec")),AX47*AW43/100,IF(AND(AX37=1,OR(AU48="jan",AU48="apr",AU48="jul",AU48="okt")),AX47*AW43/100,"0"))))</f>
        <v>0</v>
      </c>
      <c r="AW48" s="140" t="str">
        <f>IF(AV48="0","0",AW42-AV48)</f>
        <v>0</v>
      </c>
      <c r="AX48" s="141">
        <f>AX47-AW48</f>
        <v>0</v>
      </c>
      <c r="AZ48" s="135" t="str">
        <f t="shared" si="17"/>
        <v>apr</v>
      </c>
      <c r="BA48" s="140">
        <f>IF(BC40=4,BC47*BB43/100,IF(AND(BC38=2,OR(AZ48="mar",AZ48="jun",AZ48="sep",AZ48="dec")),BC47*BB43/100,IF(AND(BC39=3,OR(AZ48="jun",AZ48="dec")),BC47*BB43/100,IF(AND(BC37=1,OR(AZ48="jan",AZ48="apr",AZ48="jul",AZ48="okt")),BC47*BB43/100,"0"))))</f>
        <v>0</v>
      </c>
      <c r="BB48" s="140">
        <f>IF(BA48="0","0",BB42-BA48)</f>
        <v>0</v>
      </c>
      <c r="BC48" s="141">
        <f>BC47-BB48</f>
        <v>0</v>
      </c>
      <c r="BE48" s="135" t="str">
        <f t="shared" si="19"/>
        <v>apr</v>
      </c>
      <c r="BF48" s="21"/>
      <c r="BG48" s="21"/>
      <c r="BH48" s="141">
        <f>IF(BH39=BE48,BG41-BG48+BH40,BH47-BG48)</f>
        <v>0</v>
      </c>
      <c r="BI48" s="18">
        <f aca="true" t="shared" si="20" ref="BI48:BI58">M46+R46+W46+AB46+AG46+AL46+AQ46+AV46+BA46+BF46</f>
        <v>0</v>
      </c>
      <c r="BJ48" s="18">
        <f>N46+S46+X46+AC46+AH46+AM46+AW46+BB46+BG46+AR46</f>
        <v>0</v>
      </c>
    </row>
    <row r="49" spans="1:62" ht="12.75">
      <c r="A49" s="136"/>
      <c r="B49" s="127" t="s">
        <v>271</v>
      </c>
      <c r="C49" s="127"/>
      <c r="D49" s="128"/>
      <c r="E49" s="12"/>
      <c r="F49" s="316"/>
      <c r="G49" s="316"/>
      <c r="H49" s="316"/>
      <c r="I49" s="316"/>
      <c r="J49" s="316"/>
      <c r="K49" s="208"/>
      <c r="L49" s="135" t="str">
        <f t="shared" si="1"/>
        <v>maj</v>
      </c>
      <c r="M49" s="140" t="str">
        <f>IF(O40=4,O48*N43/100,IF(AND(O38=2,OR(L49="mar",L49="jun",L49="sep",L49="dec")),O48*N43/100,IF(AND(O39=3,OR(L49="jun",L49="dec")),O48*N43/100,IF(AND(O37=1,OR(L49="jan",L49="apr",L49="jul",L49="okt")),O48*N43/100,"0"))))</f>
        <v>0</v>
      </c>
      <c r="N49" s="140" t="str">
        <f>IF(M49="0","0",N42-M49)</f>
        <v>0</v>
      </c>
      <c r="O49" s="141">
        <f t="shared" si="2"/>
        <v>1072851.7961</v>
      </c>
      <c r="P49" s="91"/>
      <c r="Q49" s="135" t="str">
        <f t="shared" si="3"/>
        <v>maj</v>
      </c>
      <c r="R49" s="153" t="str">
        <f>IF(T40=4,T48*S43/100,IF(AND(T38=2,OR(Q49="mar",Q49="jun",Q49="sep",Q49="dec")),T48*S43/100,IF(AND(T39=3,OR(Q49="jun",Q49="dec")),T48*S43/100,IF(AND(T37=1,OR(Q49="jan",Q49="apr",Q49="jul",Q49="okt")),T48*S43/100,"0"))))</f>
        <v>0</v>
      </c>
      <c r="S49" s="140" t="str">
        <f>IF(R49="0","0",S42-R49)</f>
        <v>0</v>
      </c>
      <c r="T49" s="141">
        <f t="shared" si="4"/>
        <v>1791908.954</v>
      </c>
      <c r="U49" s="146"/>
      <c r="V49" s="65" t="str">
        <f t="shared" si="5"/>
        <v>maj</v>
      </c>
      <c r="W49" s="153" t="str">
        <f>IF(Y40=4,Y48*X43/100,IF(AND(Y38=2,OR(V49="mar",V49="jun",V49="sep",V49="dec")),Y48*X43/100,IF(AND(Y39=3,OR(V49="jun",V49="dec")),Y48*X43/100,IF(AND(Y37=1,OR(V49="jan",V49="apr",V49="jul",V49="okt")),Y48*X43/100,"0"))))</f>
        <v>0</v>
      </c>
      <c r="X49" s="153" t="str">
        <f>IF(W49="0","0",X42-W49)</f>
        <v>0</v>
      </c>
      <c r="Y49" s="74">
        <f t="shared" si="6"/>
        <v>999994</v>
      </c>
      <c r="Z49" s="146"/>
      <c r="AA49" s="135" t="str">
        <f t="shared" si="7"/>
        <v>maj</v>
      </c>
      <c r="AB49" s="140" t="str">
        <f>IF(AD40=4,AD48*AC43/100,IF(AND(AD38=2,OR(AA49="mar",AA49="jun",AA49="sep",AA49="dec")),AD48*AC43/100,IF(AND(AD39=3,OR(AA49="jun",AA49="dec")),AD48*AC43/100,IF(AND(AD37=1,OR(AA49="jan",AA49="apr",AA49="jul",AA49="okt")),AD48*AC43/100,"0"))))</f>
        <v>0</v>
      </c>
      <c r="AC49" s="140" t="str">
        <f>IF(AB49="0","0",AC42-AB49)</f>
        <v>0</v>
      </c>
      <c r="AD49" s="141">
        <f t="shared" si="8"/>
        <v>4569459.345</v>
      </c>
      <c r="AE49" s="126"/>
      <c r="AF49" s="135" t="str">
        <f t="shared" si="9"/>
        <v>maj</v>
      </c>
      <c r="AG49" s="21"/>
      <c r="AH49" s="21"/>
      <c r="AI49" s="140">
        <f>IF(AI39=AF49,AI48-AH49+AI40,AI48-AH49)</f>
        <v>1114667</v>
      </c>
      <c r="AK49" s="135" t="str">
        <f t="shared" si="10"/>
        <v>maj</v>
      </c>
      <c r="AL49" s="140" t="str">
        <f t="shared" si="11"/>
        <v>0</v>
      </c>
      <c r="AM49" s="140" t="str">
        <f>IF(AL49="0","0",AM42-AL49)</f>
        <v>0</v>
      </c>
      <c r="AN49" s="141">
        <f t="shared" si="12"/>
        <v>0</v>
      </c>
      <c r="AP49" s="135" t="str">
        <f t="shared" si="13"/>
        <v>maj</v>
      </c>
      <c r="AQ49" s="140" t="str">
        <f>IF(AS40=4,AS48*AR43/100,IF(AND(AS38=2,OR(AP49="mar",AP49="jun",AP49="sep",AP49="dec")),AS48*AR43/100,IF(AND(AS39=3,OR(AP49="jun",AP49="dec")),AS48*AR43/100,IF(AND(AS37=1,OR(AP49="jan",AP49="apr",AP49="jul",AP49="okt")),AS48*AR43/100,"0"))))</f>
        <v>0</v>
      </c>
      <c r="AR49" s="140" t="str">
        <f>IF(AQ49="0","0",AR42-AQ49)</f>
        <v>0</v>
      </c>
      <c r="AS49" s="141">
        <f t="shared" si="14"/>
        <v>0</v>
      </c>
      <c r="AU49" s="135" t="str">
        <f t="shared" si="15"/>
        <v>maj</v>
      </c>
      <c r="AV49" s="140" t="str">
        <f>IF(AX40=4,AX48*AW43/100,IF(AND(AX38=2,OR(AU49="mar",AU49="jun",AU49="sep",AU49="dec")),AX48*AW43/100,IF(AND(AX39=3,OR(AU49="jun",AU49="dec")),AX48*AW43/100,IF(AND(AX37=1,OR(AU49="jan",AU49="apr",AU49="jul",AU49="okt")),AX48*AW43/100,"0"))))</f>
        <v>0</v>
      </c>
      <c r="AW49" s="140" t="str">
        <f>IF(AV49="0","0",AW42-AV49)</f>
        <v>0</v>
      </c>
      <c r="AX49" s="141">
        <f t="shared" si="16"/>
        <v>0</v>
      </c>
      <c r="AZ49" s="135" t="str">
        <f t="shared" si="17"/>
        <v>maj</v>
      </c>
      <c r="BA49" s="140">
        <f>IF(BC40=4,BC48*BB43/100,IF(AND(BC38=2,OR(AZ49="mar",AZ49="jun",AZ49="sep",AZ49="dec")),BC48*BB43/100,IF(AND(BC39=3,OR(AZ49="jun",AZ49="dec")),BC48*BB43/100,IF(AND(BC37=1,OR(AZ49="jan",AZ49="apr",AZ49="jul",AZ49="okt")),BC48*BB43/100,"0"))))</f>
        <v>0</v>
      </c>
      <c r="BB49" s="140">
        <f>IF(BA49="0","0",BB42-BA49)</f>
        <v>0</v>
      </c>
      <c r="BC49" s="141">
        <f t="shared" si="18"/>
        <v>0</v>
      </c>
      <c r="BE49" s="135" t="str">
        <f t="shared" si="19"/>
        <v>maj</v>
      </c>
      <c r="BF49" s="21"/>
      <c r="BG49" s="21"/>
      <c r="BH49" s="141">
        <f>IF(BH39=BE49,BG41-BG49+BH40,BH48-BG49)</f>
        <v>0</v>
      </c>
      <c r="BI49" s="18">
        <f t="shared" si="20"/>
        <v>80636.0951</v>
      </c>
      <c r="BJ49" s="18">
        <f>N47+S47+X47+AC47+AH47+AM47+AW47+BB47+BG47+AR47</f>
        <v>53811.9049</v>
      </c>
    </row>
    <row r="50" spans="1:62" ht="12.75">
      <c r="A50" s="136"/>
      <c r="B50" s="413" t="s">
        <v>15</v>
      </c>
      <c r="C50" s="44"/>
      <c r="D50" s="45"/>
      <c r="E50" s="12">
        <v>75</v>
      </c>
      <c r="F50" s="316">
        <v>77</v>
      </c>
      <c r="G50" s="316"/>
      <c r="H50" s="316"/>
      <c r="I50" s="316"/>
      <c r="J50" s="316"/>
      <c r="K50" s="150"/>
      <c r="L50" s="135" t="str">
        <f t="shared" si="1"/>
        <v>jun</v>
      </c>
      <c r="M50" s="140">
        <f>IF(O40=4,O49*N43/100,IF(AND(O38=2,OR(L50="mar",L50="jun",L50="sep",L50="dec")),O49*N43/100,IF(AND(O39=3,OR(L50="jun",L50="dec")),O49*N43/100,IF(AND(O37=1,OR(L50="jan",L50="apr",L50="jul",L50="okt")),O49*N43/100,"0"))))</f>
        <v>15341.78068423</v>
      </c>
      <c r="N50" s="140">
        <f>IF(M50="0","0",N42-M50)</f>
        <v>5959.21931577</v>
      </c>
      <c r="O50" s="141">
        <f t="shared" si="2"/>
        <v>1066892.5767842298</v>
      </c>
      <c r="P50" s="91"/>
      <c r="Q50" s="135" t="str">
        <f t="shared" si="3"/>
        <v>jun</v>
      </c>
      <c r="R50" s="153">
        <f>IF(T40=4,T49*S43/100,IF(AND(T38=2,OR(Q50="mar",Q50="jun",Q50="sep",Q50="dec")),T49*S43/100,IF(AND(T39=3,OR(Q50="jun",Q50="dec")),T49*S43/100,IF(AND(T37=1,OR(Q50="jan",Q50="apr",Q50="jul",Q50="okt")),T49*S43/100,"0"))))</f>
        <v>21144.5256572</v>
      </c>
      <c r="S50" s="140">
        <f>IF(R50="0","0",S42-R50)</f>
        <v>10240.4743428</v>
      </c>
      <c r="T50" s="141">
        <f t="shared" si="4"/>
        <v>1781668.4796572</v>
      </c>
      <c r="U50" s="146"/>
      <c r="V50" s="65" t="str">
        <f t="shared" si="5"/>
        <v>jun</v>
      </c>
      <c r="W50" s="153">
        <f>IF(Y40=4,Y49*X43/100,IF(AND(Y38=2,OR(V50="mar",V50="jun",V50="sep",V50="dec")),Y49*X43/100,IF(AND(Y39=3,OR(V50="jun",V50="dec")),Y49*X43/100,IF(AND(Y37=1,OR(V50="jan",V50="apr",V50="jul",V50="okt")),Y49*X43/100,"0"))))</f>
        <v>5499.967000000001</v>
      </c>
      <c r="X50" s="153">
        <f>IF(W50="0","0",X42-W50)</f>
        <v>6.032999999999447</v>
      </c>
      <c r="Y50" s="74">
        <f t="shared" si="6"/>
        <v>999987.967</v>
      </c>
      <c r="Z50" s="146"/>
      <c r="AA50" s="135" t="str">
        <f t="shared" si="7"/>
        <v>jun</v>
      </c>
      <c r="AB50" s="140">
        <f>IF(AD40=4,AD49*AC43/100,IF(AND(AD38=2,OR(AA50="mar",AA50="jun",AA50="sep",AA50="dec")),AD49*AC43/100,IF(AND(AD39=3,OR(AA50="jun",AA50="dec")),AD49*AC43/100,IF(AND(AD37=1,OR(AA50="jan",AA50="apr",AA50="jul",AA50="okt")),AD49*AC43/100,"0"))))</f>
        <v>22847.296725</v>
      </c>
      <c r="AC50" s="140">
        <f>IF(AB50="0","0",AC42-AB50)</f>
        <v>37998.703275</v>
      </c>
      <c r="AD50" s="141">
        <f t="shared" si="8"/>
        <v>4531460.641725</v>
      </c>
      <c r="AE50" s="126"/>
      <c r="AF50" s="135" t="str">
        <f t="shared" si="9"/>
        <v>jun</v>
      </c>
      <c r="AG50" s="21">
        <v>15410</v>
      </c>
      <c r="AH50" s="21"/>
      <c r="AI50" s="140">
        <f>IF(AI39=AF50,AI49-AH50+AI40,AI49-AH50)</f>
        <v>1114667</v>
      </c>
      <c r="AK50" s="135" t="str">
        <f t="shared" si="10"/>
        <v>jun</v>
      </c>
      <c r="AL50" s="140" t="str">
        <f t="shared" si="11"/>
        <v>0</v>
      </c>
      <c r="AM50" s="140" t="str">
        <f>IF(AL50="0","0",AM42-AL50)</f>
        <v>0</v>
      </c>
      <c r="AN50" s="141">
        <f t="shared" si="12"/>
        <v>0</v>
      </c>
      <c r="AP50" s="135" t="str">
        <f t="shared" si="13"/>
        <v>jun</v>
      </c>
      <c r="AQ50" s="140" t="str">
        <f>IF(AS40=4,AS49*AR43/100,IF(AND(AS38=2,OR(AP50="mar",AP50="jun",AP50="sep",AP50="dec")),AS49*AR43/100,IF(AND(AS39=3,OR(AP50="jun",AP50="dec")),AS49*AR43/100,IF(AND(AS37=1,OR(AP50="jan",AP50="apr",AP50="jul",AP50="okt")),AS49*AR43/100,"0"))))</f>
        <v>0</v>
      </c>
      <c r="AR50" s="140" t="str">
        <f>IF(AQ50="0","0",AR42-AQ50)</f>
        <v>0</v>
      </c>
      <c r="AS50" s="141">
        <f t="shared" si="14"/>
        <v>0</v>
      </c>
      <c r="AU50" s="135" t="str">
        <f t="shared" si="15"/>
        <v>jun</v>
      </c>
      <c r="AV50" s="140" t="str">
        <f>IF(AX40=4,AX49*AW43/100,IF(AND(AX38=2,OR(AU50="mar",AU50="jun",AU50="sep",AU50="dec")),AX49*AW43/100,IF(AND(AX39=3,OR(AU50="jun",AU50="dec")),AX49*AW43/100,IF(AND(AX37=1,OR(AU50="jan",AU50="apr",AU50="jul",AU50="okt")),AX49*AW43/100,"0"))))</f>
        <v>0</v>
      </c>
      <c r="AW50" s="140" t="str">
        <f>IF(AV50="0","0",AW42-AV50)</f>
        <v>0</v>
      </c>
      <c r="AX50" s="141">
        <f t="shared" si="16"/>
        <v>0</v>
      </c>
      <c r="AZ50" s="135" t="str">
        <f t="shared" si="17"/>
        <v>jun</v>
      </c>
      <c r="BA50" s="140">
        <f>IF(BC40=4,BC49*BB43/100,IF(AND(BC38=2,OR(AZ50="mar",AZ50="jun",AZ50="sep",AZ50="dec")),BC49*BB43/100,IF(AND(BC39=3,OR(AZ50="jun",AZ50="dec")),BC49*BB43/100,IF(AND(BC37=1,OR(AZ50="jan",AZ50="apr",AZ50="jul",AZ50="okt")),BC49*BB43/100,"0"))))</f>
        <v>0</v>
      </c>
      <c r="BB50" s="140">
        <f>IF(BA50="0","0",BB42-BA50)</f>
        <v>0</v>
      </c>
      <c r="BC50" s="141">
        <f t="shared" si="18"/>
        <v>0</v>
      </c>
      <c r="BE50" s="135" t="str">
        <f t="shared" si="19"/>
        <v>jun</v>
      </c>
      <c r="BF50" s="21"/>
      <c r="BG50" s="21"/>
      <c r="BH50" s="141">
        <f>IF(BH39=BE50,BG41-BG50+BH40,BH49-BG50)</f>
        <v>0</v>
      </c>
      <c r="BI50" s="18">
        <f t="shared" si="20"/>
        <v>0</v>
      </c>
      <c r="BJ50" s="18">
        <f>N48+S48+X48+AC48+AH48+AM48+AW48+BB48+BG48+AR48</f>
        <v>0</v>
      </c>
    </row>
    <row r="51" spans="1:62" ht="12.75">
      <c r="A51" s="100"/>
      <c r="B51" s="102" t="s">
        <v>16</v>
      </c>
      <c r="C51" s="77"/>
      <c r="D51" s="78"/>
      <c r="E51" s="134">
        <f aca="true" t="shared" si="21" ref="E51:J51">SUM(E42:E50)</f>
        <v>300</v>
      </c>
      <c r="F51" s="134">
        <f t="shared" si="21"/>
        <v>418</v>
      </c>
      <c r="G51" s="134">
        <f t="shared" si="21"/>
        <v>0</v>
      </c>
      <c r="H51" s="134">
        <f t="shared" si="21"/>
        <v>0</v>
      </c>
      <c r="I51" s="134">
        <f t="shared" si="21"/>
        <v>0</v>
      </c>
      <c r="J51" s="134">
        <f t="shared" si="21"/>
        <v>0</v>
      </c>
      <c r="K51" s="150"/>
      <c r="L51" s="135" t="str">
        <f t="shared" si="1"/>
        <v>jul</v>
      </c>
      <c r="M51" s="140" t="str">
        <f>IF(O40=4,O50*N43/100,IF(AND(O38=2,OR(L51="mar",L51="jun",L51="sep",L51="dec")),O50*N43/100,IF(AND(O39=3,OR(L51="jun",L51="dec")),O50*N43/100,IF(AND(O37=1,OR(L51="jan",L51="apr",L51="jul",L51="okt")),O50*N43/100,"0"))))</f>
        <v>0</v>
      </c>
      <c r="N51" s="140" t="str">
        <f>IF(M51="0","0",N42-M51)</f>
        <v>0</v>
      </c>
      <c r="O51" s="141">
        <f t="shared" si="2"/>
        <v>1066892.5767842298</v>
      </c>
      <c r="P51" s="91"/>
      <c r="Q51" s="135" t="str">
        <f t="shared" si="3"/>
        <v>jul</v>
      </c>
      <c r="R51" s="153" t="str">
        <f>IF(T40=4,T50*S43/100,IF(AND(T38=2,OR(Q51="mar",Q51="jun",Q51="sep",Q51="dec")),T50*S43/100,IF(AND(T39=3,OR(Q51="jun",Q51="dec")),T50*S43/100,IF(AND(T37=1,OR(Q51="jan",Q51="apr",Q51="jul",Q51="okt")),T50*S43/100,"0"))))</f>
        <v>0</v>
      </c>
      <c r="S51" s="140" t="str">
        <f>IF(R51="0","0",S42-R51)</f>
        <v>0</v>
      </c>
      <c r="T51" s="141">
        <f t="shared" si="4"/>
        <v>1781668.4796572</v>
      </c>
      <c r="U51" s="146"/>
      <c r="V51" s="65" t="str">
        <f t="shared" si="5"/>
        <v>jul</v>
      </c>
      <c r="W51" s="153" t="str">
        <f>IF(Y40=4,Y50*X43/100,IF(AND(Y38=2,OR(V51="mar",V51="jun",V51="sep",V51="dec")),Y50*X43/100,IF(AND(Y39=3,OR(V51="jun",V51="dec")),Y50*X43/100,IF(AND(Y37=1,OR(V51="jan",V51="apr",V51="jul",V51="okt")),Y50*X43/100,"0"))))</f>
        <v>0</v>
      </c>
      <c r="X51" s="153" t="str">
        <f>IF(W51="0","0",X42-W51)</f>
        <v>0</v>
      </c>
      <c r="Y51" s="74">
        <f t="shared" si="6"/>
        <v>999987.967</v>
      </c>
      <c r="Z51" s="146"/>
      <c r="AA51" s="135" t="str">
        <f t="shared" si="7"/>
        <v>jul</v>
      </c>
      <c r="AB51" s="140" t="str">
        <f>IF(AD40=4,AD50*AC43/100,IF(AND(AD38=2,OR(AA51="mar",AA51="jun",AA51="sep",AA51="dec")),AD50*AC43/100,IF(AND(AD39=3,OR(AA51="jun",AA51="dec")),AD50*AC43/100,IF(AND(AD37=1,OR(AA51="jan",AA51="apr",AA51="jul",AA51="okt")),AD50*AC43/100,"0"))))</f>
        <v>0</v>
      </c>
      <c r="AC51" s="140" t="str">
        <f>IF(AB51="0","0",AC42-AB51)</f>
        <v>0</v>
      </c>
      <c r="AD51" s="141">
        <f t="shared" si="8"/>
        <v>4531460.641725</v>
      </c>
      <c r="AE51" s="126"/>
      <c r="AF51" s="135" t="str">
        <f t="shared" si="9"/>
        <v>jul</v>
      </c>
      <c r="AG51" s="21"/>
      <c r="AH51" s="21"/>
      <c r="AI51" s="140">
        <f>IF(AI39=AF51,AI50-AH51+AI40,AI50-AH51)</f>
        <v>1114667</v>
      </c>
      <c r="AK51" s="135" t="str">
        <f t="shared" si="10"/>
        <v>jul</v>
      </c>
      <c r="AL51" s="140" t="str">
        <f t="shared" si="11"/>
        <v>0</v>
      </c>
      <c r="AM51" s="140" t="str">
        <f>IF(AL51="0","0",AM42-AL51)</f>
        <v>0</v>
      </c>
      <c r="AN51" s="141">
        <f t="shared" si="12"/>
        <v>0</v>
      </c>
      <c r="AP51" s="135" t="str">
        <f t="shared" si="13"/>
        <v>jul</v>
      </c>
      <c r="AQ51" s="140" t="str">
        <f>IF(AS40=4,AS50*AR43/100,IF(AND(AS38=2,OR(AP51="mar",AP51="jun",AP51="sep",AP51="dec")),AS50*AR43/100,IF(AND(AS39=3,OR(AP51="jun",AP51="dec")),AS50*AR43/100,IF(AND(AS37=1,OR(AP51="jan",AP51="apr",AP51="jul",AP51="okt")),AS50*AR43/100,"0"))))</f>
        <v>0</v>
      </c>
      <c r="AR51" s="140" t="str">
        <f>IF(AQ51="0","0",AR42-AQ51)</f>
        <v>0</v>
      </c>
      <c r="AS51" s="141">
        <f t="shared" si="14"/>
        <v>0</v>
      </c>
      <c r="AU51" s="135" t="str">
        <f t="shared" si="15"/>
        <v>jul</v>
      </c>
      <c r="AV51" s="140" t="str">
        <f>IF(AX40=4,AX50*AW43/100,IF(AND(AX38=2,OR(AU51="mar",AU51="jun",AU51="sep",AU51="dec")),AX50*AW43/100,IF(AND(AX39=3,OR(AU51="jun",AU51="dec")),AX50*AW43/100,IF(AND(AX37=1,OR(AU51="jan",AU51="apr",AU51="jul",AU51="okt")),AX50*AW43/100,"0"))))</f>
        <v>0</v>
      </c>
      <c r="AW51" s="140" t="str">
        <f>IF(AV51="0","0",AW42-AV51)</f>
        <v>0</v>
      </c>
      <c r="AX51" s="141">
        <f t="shared" si="16"/>
        <v>0</v>
      </c>
      <c r="AZ51" s="135" t="str">
        <f t="shared" si="17"/>
        <v>jul</v>
      </c>
      <c r="BA51" s="140">
        <f>IF(BC40=4,BC50*BB43/100,IF(AND(BC38=2,OR(AZ51="mar",AZ51="jun",AZ51="sep",AZ51="dec")),BC50*BB43/100,IF(AND(BC39=3,OR(AZ51="jun",AZ51="dec")),BC50*BB43/100,IF(AND(BC37=1,OR(AZ51="jan",AZ51="apr",AZ51="jul",AZ51="okt")),BC50*BB43/100,"0"))))</f>
        <v>0</v>
      </c>
      <c r="BB51" s="140">
        <f>IF(BA51="0","0",BB42-BA51)</f>
        <v>0</v>
      </c>
      <c r="BC51" s="141">
        <f t="shared" si="18"/>
        <v>0</v>
      </c>
      <c r="BE51" s="135" t="str">
        <f t="shared" si="19"/>
        <v>jul</v>
      </c>
      <c r="BF51" s="21"/>
      <c r="BG51" s="21"/>
      <c r="BH51" s="141">
        <f>IF(BH39=BE51,BG41-BG51+BH40,BH50-BG51)</f>
        <v>0</v>
      </c>
      <c r="BI51" s="18">
        <f t="shared" si="20"/>
        <v>0</v>
      </c>
      <c r="BJ51" s="18">
        <f>N49+S49+X49+AC49+AH49+AM49+AW49+BB49+BG49+AR49</f>
        <v>0</v>
      </c>
    </row>
    <row r="52" spans="1:62" ht="12.75">
      <c r="A52" s="136"/>
      <c r="B52" s="101"/>
      <c r="C52" s="101"/>
      <c r="D52" s="101"/>
      <c r="E52" s="126"/>
      <c r="F52" s="126"/>
      <c r="G52" s="126"/>
      <c r="H52" s="126"/>
      <c r="I52" s="126"/>
      <c r="J52" s="126"/>
      <c r="K52" s="150"/>
      <c r="L52" s="135" t="str">
        <f t="shared" si="1"/>
        <v>aug</v>
      </c>
      <c r="M52" s="140" t="str">
        <f>IF(O40=4,O51*N43/100,IF(AND(O38=2,OR(L52="mar",L52="jun",L52="sep",L52="dec")),O51*N43/100,IF(AND(O39=3,OR(L52="jun",L52="dec")),O51*N43/100,IF(AND(O37=1,OR(L52="jan",L52="apr",L52="jul",L52="okt")),O51*N43/100,"0"))))</f>
        <v>0</v>
      </c>
      <c r="N52" s="140" t="str">
        <f>IF(M52="0","0",N42-M52)</f>
        <v>0</v>
      </c>
      <c r="O52" s="141">
        <f t="shared" si="2"/>
        <v>1066892.5767842298</v>
      </c>
      <c r="P52" s="91"/>
      <c r="Q52" s="135" t="str">
        <f t="shared" si="3"/>
        <v>aug</v>
      </c>
      <c r="R52" s="153" t="str">
        <f>IF(T40=4,T51*S43/100,IF(AND(T38=2,OR(Q52="mar",Q52="jun",Q52="sep",Q52="dec")),T51*S43/100,IF(AND(T39=3,OR(Q52="jun",Q52="dec")),T51*S43/100,IF(AND(T37=1,OR(Q52="jan",Q52="apr",Q52="jul",Q52="okt")),T51*S43/100,"0"))))</f>
        <v>0</v>
      </c>
      <c r="S52" s="140" t="str">
        <f>IF(R52="0","0",S42-R52)</f>
        <v>0</v>
      </c>
      <c r="T52" s="141">
        <f t="shared" si="4"/>
        <v>1781668.4796572</v>
      </c>
      <c r="U52" s="146"/>
      <c r="V52" s="65" t="str">
        <f t="shared" si="5"/>
        <v>aug</v>
      </c>
      <c r="W52" s="153" t="str">
        <f>IF(Y40=4,Y51*X43/100,IF(AND(Y38=2,OR(V52="mar",V52="jun",V52="sep",V52="dec")),Y51*X43/100,IF(AND(Y39=3,OR(V52="jun",V52="dec")),Y51*X43/100,IF(AND(Y37=1,OR(V52="jan",V52="apr",V52="jul",V52="okt")),Y51*X43/100,"0"))))</f>
        <v>0</v>
      </c>
      <c r="X52" s="153" t="str">
        <f>IF(W52="0","0",X42-W52)</f>
        <v>0</v>
      </c>
      <c r="Y52" s="74">
        <f t="shared" si="6"/>
        <v>999987.967</v>
      </c>
      <c r="Z52" s="146"/>
      <c r="AA52" s="135" t="str">
        <f t="shared" si="7"/>
        <v>aug</v>
      </c>
      <c r="AB52" s="140" t="str">
        <f>IF(AD40=4,AD51*AC43/100,IF(AND(AD38=2,OR(AA52="mar",AA52="jun",AA52="sep",AA52="dec")),AD51*AC43/100,IF(AND(AD39=3,OR(AA52="jun",AA52="dec")),AD51*AC43/100,IF(AND(AD37=1,OR(AA52="jan",AA52="apr",AA52="jul",AA52="okt")),AD51*AC43/100,"0"))))</f>
        <v>0</v>
      </c>
      <c r="AC52" s="140" t="str">
        <f>IF(AB52="0","0",AC42-AB52)</f>
        <v>0</v>
      </c>
      <c r="AD52" s="141">
        <f t="shared" si="8"/>
        <v>4531460.641725</v>
      </c>
      <c r="AE52" s="126"/>
      <c r="AF52" s="135" t="str">
        <f t="shared" si="9"/>
        <v>aug</v>
      </c>
      <c r="AG52" s="21"/>
      <c r="AH52" s="21"/>
      <c r="AI52" s="140">
        <f>IF(AI39=AF52,AI51-AH52+AI40,AI51-AH52)</f>
        <v>1114667</v>
      </c>
      <c r="AK52" s="135" t="str">
        <f t="shared" si="10"/>
        <v>aug</v>
      </c>
      <c r="AL52" s="140" t="str">
        <f t="shared" si="11"/>
        <v>0</v>
      </c>
      <c r="AM52" s="140" t="str">
        <f>IF(AL52="0","0",AM42-AL52)</f>
        <v>0</v>
      </c>
      <c r="AN52" s="141">
        <f t="shared" si="12"/>
        <v>0</v>
      </c>
      <c r="AP52" s="135" t="str">
        <f t="shared" si="13"/>
        <v>aug</v>
      </c>
      <c r="AQ52" s="140" t="str">
        <f>IF(AS40=4,AS51*AR43/100,IF(AND(AS38=2,OR(AP52="mar",AP52="jun",AP52="sep",AP52="dec")),AS51*AR43/100,IF(AND(AS39=3,OR(AP52="jun",AP52="dec")),AS51*AR43/100,IF(AND(AS37=1,OR(AP52="jan",AP52="apr",AP52="jul",AP52="okt")),AS51*AR43/100,"0"))))</f>
        <v>0</v>
      </c>
      <c r="AR52" s="140" t="str">
        <f>IF(AQ52="0","0",AR42-AQ52)</f>
        <v>0</v>
      </c>
      <c r="AS52" s="141">
        <f t="shared" si="14"/>
        <v>0</v>
      </c>
      <c r="AU52" s="135" t="str">
        <f t="shared" si="15"/>
        <v>aug</v>
      </c>
      <c r="AV52" s="140" t="str">
        <f>IF(AX40=4,AX51*AW43/100,IF(AND(AX38=2,OR(AU52="mar",AU52="jun",AU52="sep",AU52="dec")),AX51*AW43/100,IF(AND(AX39=3,OR(AU52="jun",AU52="dec")),AX51*AW43/100,IF(AND(AX37=1,OR(AU52="jan",AU52="apr",AU52="jul",AU52="okt")),AX51*AW43/100,"0"))))</f>
        <v>0</v>
      </c>
      <c r="AW52" s="140" t="str">
        <f>IF(AV52="0","0",AW42-AV52)</f>
        <v>0</v>
      </c>
      <c r="AX52" s="141">
        <f t="shared" si="16"/>
        <v>0</v>
      </c>
      <c r="AZ52" s="135" t="str">
        <f t="shared" si="17"/>
        <v>aug</v>
      </c>
      <c r="BA52" s="140">
        <f>IF(BC40=4,BC51*BB43/100,IF(AND(BC38=2,OR(AZ52="mar",AZ52="jun",AZ52="sep",AZ52="dec")),BC51*BB43/100,IF(AND(BC39=3,OR(AZ52="jun",AZ52="dec")),BC51*BB43/100,IF(AND(BC37=1,OR(AZ52="jan",AZ52="apr",AZ52="jul",AZ52="okt")),BC51*BB43/100,"0"))))</f>
        <v>0</v>
      </c>
      <c r="BB52" s="140">
        <f>IF(BA52="0","0",BB42-BA52)</f>
        <v>0</v>
      </c>
      <c r="BC52" s="141">
        <f t="shared" si="18"/>
        <v>0</v>
      </c>
      <c r="BE52" s="135" t="str">
        <f t="shared" si="19"/>
        <v>aug</v>
      </c>
      <c r="BF52" s="21"/>
      <c r="BG52" s="21"/>
      <c r="BH52" s="141">
        <f>IF(BH39=BE52,BG41-BG52+BH40,BH51-BG52)</f>
        <v>0</v>
      </c>
      <c r="BI52" s="18">
        <f t="shared" si="20"/>
        <v>80243.57006643</v>
      </c>
      <c r="BJ52" s="18">
        <f aca="true" t="shared" si="22" ref="BJ52:BJ58">N50+S50+X50+AC50+AH50+AM50+AW50+BB50+BG50+AR50</f>
        <v>54204.42993357</v>
      </c>
    </row>
    <row r="53" spans="1:62" ht="12.75">
      <c r="A53" s="100"/>
      <c r="B53" s="106" t="s">
        <v>17</v>
      </c>
      <c r="C53" s="107"/>
      <c r="D53" s="59"/>
      <c r="E53" s="131"/>
      <c r="F53" s="132"/>
      <c r="G53" s="132"/>
      <c r="H53" s="132"/>
      <c r="I53" s="132"/>
      <c r="J53" s="133"/>
      <c r="K53" s="150"/>
      <c r="L53" s="135" t="str">
        <f t="shared" si="1"/>
        <v>sep</v>
      </c>
      <c r="M53" s="140">
        <f>IF(O40=4,O52*N43/100,IF(AND(O38=2,OR(L53="mar",L53="jun",L53="sep",L53="dec")),O52*N43/100,IF(AND(O39=3,OR(L53="jun",L53="dec")),O52*N43/100,IF(AND(O37=1,OR(L53="jan",L53="apr",L53="jul",L53="okt")),O52*N43/100,"0"))))</f>
        <v>15256.563848014486</v>
      </c>
      <c r="N53" s="140">
        <f>IF(M53="0","0",N42-M53)</f>
        <v>6044.436151985514</v>
      </c>
      <c r="O53" s="141">
        <f t="shared" si="2"/>
        <v>1060848.1406322443</v>
      </c>
      <c r="P53" s="91"/>
      <c r="Q53" s="135" t="str">
        <f t="shared" si="3"/>
        <v>sep</v>
      </c>
      <c r="R53" s="153">
        <f>IF(T40=4,T52*S43/100,IF(AND(T38=2,OR(Q53="mar",Q53="jun",Q53="sep",Q53="dec")),T52*S43/100,IF(AND(T39=3,OR(Q53="jun",Q53="dec")),T52*S43/100,IF(AND(T37=1,OR(Q53="jan",Q53="apr",Q53="jul",Q53="okt")),T52*S43/100,"0"))))</f>
        <v>21023.68805995496</v>
      </c>
      <c r="S53" s="140">
        <f>IF(R53="0","0",S42-R53)</f>
        <v>10361.311940045041</v>
      </c>
      <c r="T53" s="141">
        <f t="shared" si="4"/>
        <v>1771307.1677171548</v>
      </c>
      <c r="U53" s="146"/>
      <c r="V53" s="65" t="str">
        <f t="shared" si="5"/>
        <v>sep</v>
      </c>
      <c r="W53" s="153">
        <f>IF(Y40=4,Y52*X43/100,IF(AND(Y38=2,OR(V53="mar",V53="jun",V53="sep",V53="dec")),Y52*X43/100,IF(AND(Y39=3,OR(V53="jun",V53="dec")),Y52*X43/100,IF(AND(Y37=1,OR(V53="jan",V53="apr",V53="jul",V53="okt")),Y52*X43/100,"0"))))</f>
        <v>5499.9338185</v>
      </c>
      <c r="X53" s="153">
        <f>IF(W53="0","0",X42-W53)</f>
        <v>6.066181500000312</v>
      </c>
      <c r="Y53" s="74">
        <f t="shared" si="6"/>
        <v>999981.9008185</v>
      </c>
      <c r="Z53" s="146"/>
      <c r="AA53" s="135" t="str">
        <f t="shared" si="7"/>
        <v>sep</v>
      </c>
      <c r="AB53" s="140">
        <f>IF(AD40=4,AD52*AC43/100,IF(AND(AD38=2,OR(AA53="mar",AA53="jun",AA53="sep",AA53="dec")),AD52*AC43/100,IF(AND(AD39=3,OR(AA53="jun",AA53="dec")),AD52*AC43/100,IF(AND(AD37=1,OR(AA53="jan",AA53="apr",AA53="jul",AA53="okt")),AD52*AC43/100,"0"))))</f>
        <v>22657.303208625</v>
      </c>
      <c r="AC53" s="140">
        <f>IF(AB53="0","0",AC42-AB53)</f>
        <v>38188.696791375</v>
      </c>
      <c r="AD53" s="141">
        <f t="shared" si="8"/>
        <v>4493271.944933625</v>
      </c>
      <c r="AE53" s="126"/>
      <c r="AF53" s="135" t="str">
        <f t="shared" si="9"/>
        <v>sep</v>
      </c>
      <c r="AG53" s="21">
        <v>15410</v>
      </c>
      <c r="AH53" s="21"/>
      <c r="AI53" s="140">
        <f>IF(AI39=AF53,AI52-AH53+AI40,AI52-AH53)</f>
        <v>1114667</v>
      </c>
      <c r="AK53" s="135" t="str">
        <f t="shared" si="10"/>
        <v>sep</v>
      </c>
      <c r="AL53" s="140" t="str">
        <f t="shared" si="11"/>
        <v>0</v>
      </c>
      <c r="AM53" s="140" t="str">
        <f>IF(AL53="0","0",AM42-AL53)</f>
        <v>0</v>
      </c>
      <c r="AN53" s="141">
        <f t="shared" si="12"/>
        <v>0</v>
      </c>
      <c r="AP53" s="135" t="str">
        <f t="shared" si="13"/>
        <v>sep</v>
      </c>
      <c r="AQ53" s="140" t="str">
        <f>IF(AS40=4,AS52*AR43/100,IF(AND(AS38=2,OR(AP53="mar",AP53="jun",AP53="sep",AP53="dec")),AS52*AR43/100,IF(AND(AS39=3,OR(AP53="jun",AP53="dec")),AS52*AR43/100,IF(AND(AS37=1,OR(AP53="jan",AP53="apr",AP53="jul",AP53="okt")),AS52*AR43/100,"0"))))</f>
        <v>0</v>
      </c>
      <c r="AR53" s="140" t="str">
        <f>IF(AQ53="0","0",AR42-AQ53)</f>
        <v>0</v>
      </c>
      <c r="AS53" s="141">
        <f t="shared" si="14"/>
        <v>0</v>
      </c>
      <c r="AU53" s="135" t="str">
        <f t="shared" si="15"/>
        <v>sep</v>
      </c>
      <c r="AV53" s="140" t="str">
        <f>IF(AX40=4,AX52*AW43/100,IF(AND(AX38=2,OR(AU53="mar",AU53="jun",AU53="sep",AU53="dec")),AX52*AW43/100,IF(AND(AX39=3,OR(AU53="jun",AU53="dec")),AX52*AW43/100,IF(AND(AX37=1,OR(AU53="jan",AU53="apr",AU53="jul",AU53="okt")),AX52*AW43/100,"0"))))</f>
        <v>0</v>
      </c>
      <c r="AW53" s="140" t="str">
        <f>IF(AV53="0","0",AW42-AV53)</f>
        <v>0</v>
      </c>
      <c r="AX53" s="141">
        <f t="shared" si="16"/>
        <v>0</v>
      </c>
      <c r="AZ53" s="135" t="str">
        <f t="shared" si="17"/>
        <v>sep</v>
      </c>
      <c r="BA53" s="140">
        <f>IF(BC40=4,BC52*BB43/100,IF(AND(BC38=2,OR(AZ53="mar",AZ53="jun",AZ53="sep",AZ53="dec")),BC52*BB43/100,IF(AND(BC39=3,OR(AZ53="jun",AZ53="dec")),BC52*BB43/100,IF(AND(BC37=1,OR(AZ53="jan",AZ53="apr",AZ53="jul",AZ53="okt")),BC52*BB43/100,"0"))))</f>
        <v>0</v>
      </c>
      <c r="BB53" s="140">
        <f>IF(BA53="0","0",BB42-BA53)</f>
        <v>0</v>
      </c>
      <c r="BC53" s="141">
        <f t="shared" si="18"/>
        <v>0</v>
      </c>
      <c r="BE53" s="135" t="str">
        <f t="shared" si="19"/>
        <v>sep</v>
      </c>
      <c r="BF53" s="21"/>
      <c r="BG53" s="21"/>
      <c r="BH53" s="141">
        <f>IF(BH39=BE53,BG41-BG53+BH40,BH52-BG53)</f>
        <v>0</v>
      </c>
      <c r="BI53" s="18">
        <f t="shared" si="20"/>
        <v>0</v>
      </c>
      <c r="BJ53" s="18">
        <f t="shared" si="22"/>
        <v>0</v>
      </c>
    </row>
    <row r="54" spans="1:62" ht="12.75">
      <c r="A54" s="100"/>
      <c r="B54" s="415" t="s">
        <v>18</v>
      </c>
      <c r="C54" s="413"/>
      <c r="D54" s="414"/>
      <c r="E54" s="12">
        <v>15</v>
      </c>
      <c r="F54" s="315">
        <v>7</v>
      </c>
      <c r="G54" s="315"/>
      <c r="H54" s="315"/>
      <c r="I54" s="315"/>
      <c r="J54" s="315"/>
      <c r="K54" s="91"/>
      <c r="L54" s="135" t="str">
        <f t="shared" si="1"/>
        <v>okt</v>
      </c>
      <c r="M54" s="140" t="str">
        <f>IF(O40=4,O53*N43/100,IF(AND(O38=2,OR(L54="mar",L54="jun",L54="sep",L54="dec")),O53*N43/100,IF(AND(O39=3,OR(L54="jun",L54="dec")),O53*N43/100,IF(AND(O37=1,OR(L54="jan",L54="apr",L54="jul",L54="okt")),O53*N43/100,"0"))))</f>
        <v>0</v>
      </c>
      <c r="N54" s="140" t="str">
        <f>IF(M54="0","0",N42-M54)</f>
        <v>0</v>
      </c>
      <c r="O54" s="141">
        <f t="shared" si="2"/>
        <v>1060848.1406322443</v>
      </c>
      <c r="P54" s="91"/>
      <c r="Q54" s="135" t="str">
        <f t="shared" si="3"/>
        <v>okt</v>
      </c>
      <c r="R54" s="153" t="str">
        <f>IF(T40=4,T53*S43/100,IF(AND(T38=2,OR(Q54="mar",Q54="jun",Q54="sep",Q54="dec")),T53*S43/100,IF(AND(T39=3,OR(Q54="jun",Q54="dec")),T53*S43/100,IF(AND(T37=1,OR(Q54="jan",Q54="apr",Q54="jul",Q54="okt")),T53*S43/100,"0"))))</f>
        <v>0</v>
      </c>
      <c r="S54" s="140" t="str">
        <f>IF(R54="0","0",S42-R54)</f>
        <v>0</v>
      </c>
      <c r="T54" s="141">
        <f t="shared" si="4"/>
        <v>1771307.1677171548</v>
      </c>
      <c r="U54" s="146"/>
      <c r="V54" s="65" t="str">
        <f t="shared" si="5"/>
        <v>okt</v>
      </c>
      <c r="W54" s="153" t="str">
        <f>IF(Y40=4,Y53*X43/100,IF(AND(Y38=2,OR(V54="mar",V54="jun",V54="sep",V54="dec")),Y53*X43/100,IF(AND(Y39=3,OR(V54="jun",V54="dec")),Y53*X43/100,IF(AND(Y37=1,OR(V54="jan",V54="apr",V54="jul",V54="okt")),Y53*X43/100,"0"))))</f>
        <v>0</v>
      </c>
      <c r="X54" s="153" t="str">
        <f>IF(W54="0","0",X42-W54)</f>
        <v>0</v>
      </c>
      <c r="Y54" s="74">
        <f t="shared" si="6"/>
        <v>999981.9008185</v>
      </c>
      <c r="Z54" s="146"/>
      <c r="AA54" s="135" t="str">
        <f t="shared" si="7"/>
        <v>okt</v>
      </c>
      <c r="AB54" s="140" t="str">
        <f>IF(AD40=4,AD53*AC43/100,IF(AND(AD38=2,OR(AA54="mar",AA54="jun",AA54="sep",AA54="dec")),AD53*AC43/100,IF(AND(AD39=3,OR(AA54="jun",AA54="dec")),AD53*AC43/100,IF(AND(AD37=1,OR(AA54="jan",AA54="apr",AA54="jul",AA54="okt")),AD53*AC43/100,"0"))))</f>
        <v>0</v>
      </c>
      <c r="AC54" s="140" t="str">
        <f>IF(AB54="0","0",AC42-AB54)</f>
        <v>0</v>
      </c>
      <c r="AD54" s="141">
        <f t="shared" si="8"/>
        <v>4493271.944933625</v>
      </c>
      <c r="AE54" s="126"/>
      <c r="AF54" s="135" t="str">
        <f t="shared" si="9"/>
        <v>okt</v>
      </c>
      <c r="AG54" s="21"/>
      <c r="AH54" s="21"/>
      <c r="AI54" s="140">
        <f>IF(AI39=AF54,AI53-AH54+AI40,AI53-AH54)</f>
        <v>1114667</v>
      </c>
      <c r="AK54" s="135" t="str">
        <f t="shared" si="10"/>
        <v>okt</v>
      </c>
      <c r="AL54" s="140">
        <f t="shared" si="11"/>
        <v>0</v>
      </c>
      <c r="AM54" s="140">
        <f>IF(AL54="0","0",AM42-AL54)</f>
        <v>0</v>
      </c>
      <c r="AN54" s="141">
        <f t="shared" si="12"/>
        <v>0</v>
      </c>
      <c r="AP54" s="135" t="str">
        <f t="shared" si="13"/>
        <v>okt</v>
      </c>
      <c r="AQ54" s="140" t="str">
        <f>IF(AS40=4,AS53*AR43/100,IF(AND(AS38=2,OR(AP54="mar",AP54="jun",AP54="sep",AP54="dec")),AS53*AR43/100,IF(AND(AS39=3,OR(AP54="jun",AP54="dec")),AS53*AR43/100,IF(AND(AS37=1,OR(AP54="jan",AP54="apr",AP54="jul",AP54="okt")),AS53*AR43/100,"0"))))</f>
        <v>0</v>
      </c>
      <c r="AR54" s="140" t="str">
        <f>IF(AQ54="0","0",AR42-AQ54)</f>
        <v>0</v>
      </c>
      <c r="AS54" s="141">
        <f t="shared" si="14"/>
        <v>0</v>
      </c>
      <c r="AU54" s="135" t="str">
        <f t="shared" si="15"/>
        <v>okt</v>
      </c>
      <c r="AV54" s="140" t="str">
        <f>IF(AX40=4,AX53*AW43/100,IF(AND(AX38=2,OR(AU54="mar",AU54="jun",AU54="sep",AU54="dec")),AX53*AW43/100,IF(AND(AX39=3,OR(AU54="jun",AU54="dec")),AX53*AW43/100,IF(AND(AX37=1,OR(AU54="jan",AU54="apr",AU54="jul",AU54="okt")),AX53*AW43/100,"0"))))</f>
        <v>0</v>
      </c>
      <c r="AW54" s="140" t="str">
        <f>IF(AV54="0","0",AW42-AV54)</f>
        <v>0</v>
      </c>
      <c r="AX54" s="141">
        <f t="shared" si="16"/>
        <v>0</v>
      </c>
      <c r="AZ54" s="135" t="str">
        <f t="shared" si="17"/>
        <v>okt</v>
      </c>
      <c r="BA54" s="140">
        <f>IF(BC40=4,BC53*BB43/100,IF(AND(BC38=2,OR(AZ54="mar",AZ54="jun",AZ54="sep",AZ54="dec")),BC53*BB43/100,IF(AND(BC39=3,OR(AZ54="jun",AZ54="dec")),BC53*BB43/100,IF(AND(BC37=1,OR(AZ54="jan",AZ54="apr",AZ54="jul",AZ54="okt")),BC53*BB43/100,"0"))))</f>
        <v>0</v>
      </c>
      <c r="BB54" s="140">
        <f>IF(BA54="0","0",BB42-BA54)</f>
        <v>0</v>
      </c>
      <c r="BC54" s="141">
        <f t="shared" si="18"/>
        <v>0</v>
      </c>
      <c r="BE54" s="135" t="str">
        <f t="shared" si="19"/>
        <v>okt</v>
      </c>
      <c r="BF54" s="21"/>
      <c r="BG54" s="21"/>
      <c r="BH54" s="141">
        <f>IF(BH39=BE54,BG41-BG54+BH40,BH53-BG54)</f>
        <v>0</v>
      </c>
      <c r="BI54" s="18">
        <f t="shared" si="20"/>
        <v>0</v>
      </c>
      <c r="BJ54" s="18">
        <f t="shared" si="22"/>
        <v>0</v>
      </c>
    </row>
    <row r="55" spans="1:62" ht="12.75">
      <c r="A55" s="100"/>
      <c r="B55" s="415" t="s">
        <v>234</v>
      </c>
      <c r="C55" s="413"/>
      <c r="D55" s="414"/>
      <c r="E55" s="13">
        <v>20</v>
      </c>
      <c r="F55" s="316">
        <v>17</v>
      </c>
      <c r="G55" s="316"/>
      <c r="H55" s="316"/>
      <c r="I55" s="316"/>
      <c r="J55" s="316"/>
      <c r="K55" s="91"/>
      <c r="L55" s="135" t="str">
        <f t="shared" si="1"/>
        <v>nov</v>
      </c>
      <c r="M55" s="140" t="str">
        <f>IF(O40=4,O54*N43/100,IF(AND(O38=2,OR(L55="mar",L55="jun",L55="sep",L55="dec")),O54*N43/100,IF(AND(O39=3,OR(L55="jun",L55="dec")),O54*N43/100,IF(AND(O37=1,OR(L55="jan",L55="apr",L55="jul",L55="okt")),O54*N43/100,"0"))))</f>
        <v>0</v>
      </c>
      <c r="N55" s="140" t="str">
        <f>IF(M55="0","0",N42-M55)</f>
        <v>0</v>
      </c>
      <c r="O55" s="141">
        <f t="shared" si="2"/>
        <v>1060848.1406322443</v>
      </c>
      <c r="P55" s="91"/>
      <c r="Q55" s="135" t="str">
        <f t="shared" si="3"/>
        <v>nov</v>
      </c>
      <c r="R55" s="153" t="str">
        <f>IF(T40=4,T54*S43/100,IF(AND(T38=2,OR(Q55="mar",Q55="jun",Q55="sep",Q55="dec")),T54*S43/100,IF(AND(T39=3,OR(Q55="jun",Q55="dec")),T54*S43/100,IF(AND(T37=1,OR(Q55="jan",Q55="apr",Q55="jul",Q55="okt")),T54*S43/100,"0"))))</f>
        <v>0</v>
      </c>
      <c r="S55" s="140" t="str">
        <f>IF(R55="0","0",S42-R55)</f>
        <v>0</v>
      </c>
      <c r="T55" s="141">
        <f t="shared" si="4"/>
        <v>1771307.1677171548</v>
      </c>
      <c r="U55" s="146"/>
      <c r="V55" s="65" t="str">
        <f t="shared" si="5"/>
        <v>nov</v>
      </c>
      <c r="W55" s="153" t="str">
        <f>IF(Y40=4,Y54*X43/100,IF(AND(Y38=2,OR(V55="mar",V55="jun",V55="sep",V55="dec")),Y54*X43/100,IF(AND(Y39=3,OR(V55="jun",V55="dec")),Y54*X43/100,IF(AND(Y37=1,OR(V55="jan",V55="apr",V55="jul",V55="okt")),Y54*X43/100,"0"))))</f>
        <v>0</v>
      </c>
      <c r="X55" s="153" t="str">
        <f>IF(W55="0","0",X42-W55)</f>
        <v>0</v>
      </c>
      <c r="Y55" s="74">
        <f t="shared" si="6"/>
        <v>999981.9008185</v>
      </c>
      <c r="Z55" s="146"/>
      <c r="AA55" s="135" t="str">
        <f t="shared" si="7"/>
        <v>nov</v>
      </c>
      <c r="AB55" s="140" t="str">
        <f>IF(AD40=4,AD54*AC43/100,IF(AND(AD38=2,OR(AA55="mar",AA55="jun",AA55="sep",AA55="dec")),AD54*AC43/100,IF(AND(AD39=3,OR(AA55="jun",AA55="dec")),AD54*AC43/100,IF(AND(AD37=1,OR(AA55="jan",AA55="apr",AA55="jul",AA55="okt")),AD54*AC43/100,"0"))))</f>
        <v>0</v>
      </c>
      <c r="AC55" s="140" t="str">
        <f>IF(AB55="0","0",AC42-AB55)</f>
        <v>0</v>
      </c>
      <c r="AD55" s="141">
        <f t="shared" si="8"/>
        <v>4493271.944933625</v>
      </c>
      <c r="AE55" s="126"/>
      <c r="AF55" s="135" t="str">
        <f t="shared" si="9"/>
        <v>nov</v>
      </c>
      <c r="AG55" s="21"/>
      <c r="AH55" s="21"/>
      <c r="AI55" s="140">
        <f>IF(AI39=AF55,AI54-AH55+AI40,AI54-AH55)</f>
        <v>1114667</v>
      </c>
      <c r="AK55" s="135" t="str">
        <f t="shared" si="10"/>
        <v>nov</v>
      </c>
      <c r="AL55" s="140" t="str">
        <f t="shared" si="11"/>
        <v>0</v>
      </c>
      <c r="AM55" s="140" t="str">
        <f>IF(AL55="0","0",AM42-AL55)</f>
        <v>0</v>
      </c>
      <c r="AN55" s="141">
        <f t="shared" si="12"/>
        <v>0</v>
      </c>
      <c r="AP55" s="135" t="str">
        <f t="shared" si="13"/>
        <v>nov</v>
      </c>
      <c r="AQ55" s="140" t="str">
        <f>IF(AS40=4,AS54*AR43/100,IF(AND(AS38=2,OR(AP55="mar",AP55="jun",AP55="sep",AP55="dec")),AS54*AR43/100,IF(AND(AS39=3,OR(AP55="jun",AP55="dec")),AS54*AR43/100,IF(AND(AS37=1,OR(AP55="jan",AP55="apr",AP55="jul",AP55="okt")),AS54*AR43/100,"0"))))</f>
        <v>0</v>
      </c>
      <c r="AR55" s="140" t="str">
        <f>IF(AQ55="0","0",AR42-AQ55)</f>
        <v>0</v>
      </c>
      <c r="AS55" s="141">
        <f t="shared" si="14"/>
        <v>0</v>
      </c>
      <c r="AU55" s="135" t="str">
        <f t="shared" si="15"/>
        <v>nov</v>
      </c>
      <c r="AV55" s="140" t="str">
        <f>IF(AX40=4,AX54*AW43/100,IF(AND(AX38=2,OR(AU55="mar",AU55="jun",AU55="sep",AU55="dec")),AX54*AW43/100,IF(AND(AX39=3,OR(AU55="jun",AU55="dec")),AX54*AW43/100,IF(AND(AX37=1,OR(AU55="jan",AU55="apr",AU55="jul",AU55="okt")),AX54*AW43/100,"0"))))</f>
        <v>0</v>
      </c>
      <c r="AW55" s="140" t="str">
        <f>IF(AV55="0","0",AW42-AV55)</f>
        <v>0</v>
      </c>
      <c r="AX55" s="141">
        <f t="shared" si="16"/>
        <v>0</v>
      </c>
      <c r="AZ55" s="135" t="str">
        <f t="shared" si="17"/>
        <v>nov</v>
      </c>
      <c r="BA55" s="140">
        <f>IF(BC40=4,BC54*BB43/100,IF(AND(BC38=2,OR(AZ55="mar",AZ55="jun",AZ55="sep",AZ55="dec")),BC54*BB43/100,IF(AND(BC39=3,OR(AZ55="jun",AZ55="dec")),BC54*BB43/100,IF(AND(BC37=1,OR(AZ55="jan",AZ55="apr",AZ55="jul",AZ55="okt")),BC54*BB43/100,"0"))))</f>
        <v>0</v>
      </c>
      <c r="BB55" s="140">
        <f>IF(BA55="0","0",BB42-BA55)</f>
        <v>0</v>
      </c>
      <c r="BC55" s="141">
        <f t="shared" si="18"/>
        <v>0</v>
      </c>
      <c r="BE55" s="135" t="str">
        <f t="shared" si="19"/>
        <v>nov</v>
      </c>
      <c r="BF55" s="21"/>
      <c r="BG55" s="21"/>
      <c r="BH55" s="141">
        <f>IF(BH39=BE55,BG41-BG55+BH40,BH54-BG55)</f>
        <v>0</v>
      </c>
      <c r="BI55" s="18">
        <f t="shared" si="20"/>
        <v>79847.48893509444</v>
      </c>
      <c r="BJ55" s="18">
        <f t="shared" si="22"/>
        <v>54600.51106490555</v>
      </c>
    </row>
    <row r="56" spans="1:62" ht="12.75">
      <c r="A56" s="100"/>
      <c r="B56" s="415" t="s">
        <v>19</v>
      </c>
      <c r="C56" s="413"/>
      <c r="D56" s="414"/>
      <c r="E56" s="13">
        <v>15</v>
      </c>
      <c r="F56" s="316">
        <v>2</v>
      </c>
      <c r="G56" s="316"/>
      <c r="H56" s="316"/>
      <c r="I56" s="316"/>
      <c r="J56" s="316"/>
      <c r="K56" s="91"/>
      <c r="L56" s="135" t="str">
        <f t="shared" si="1"/>
        <v>dec</v>
      </c>
      <c r="M56" s="140">
        <f>IF(O40=4,O55*N43/100,IF(AND(O38=2,OR(L56="mar",L56="jun",L56="sep",L56="dec")),O55*N43/100,IF(AND(O39=3,OR(L56="jun",L56="dec")),O55*N43/100,IF(AND(O37=1,OR(L56="jan",L56="apr",L56="jul",L56="okt")),O55*N43/100,"0"))))</f>
        <v>15170.128411041092</v>
      </c>
      <c r="N56" s="140">
        <f>IF(M56="0","0",N42-M56)</f>
        <v>6130.8715889589075</v>
      </c>
      <c r="O56" s="141">
        <f t="shared" si="2"/>
        <v>1054717.2690432854</v>
      </c>
      <c r="P56" s="91"/>
      <c r="Q56" s="135" t="str">
        <f t="shared" si="3"/>
        <v>dec</v>
      </c>
      <c r="R56" s="153">
        <f>IF(T40=4,T55*S43/100,IF(AND(T38=2,OR(Q56="mar",Q56="jun",Q56="sep",Q56="dec")),T55*S43/100,IF(AND(T39=3,OR(Q56="jun",Q56="dec")),T55*S43/100,IF(AND(T37=1,OR(Q56="jan",Q56="apr",Q56="jul",Q56="okt")),T55*S43/100,"0"))))</f>
        <v>20901.424579062426</v>
      </c>
      <c r="S56" s="140">
        <f>IF(R56="0","0",S42-R56)</f>
        <v>10483.575420937574</v>
      </c>
      <c r="T56" s="141">
        <f t="shared" si="4"/>
        <v>1760823.5922962173</v>
      </c>
      <c r="U56" s="146"/>
      <c r="V56" s="65" t="str">
        <f t="shared" si="5"/>
        <v>dec</v>
      </c>
      <c r="W56" s="153">
        <f>IF(Y40=4,Y55*X43/100,IF(AND(Y38=2,OR(V56="mar",V56="jun",V56="sep",V56="dec")),Y55*X43/100,IF(AND(Y39=3,OR(V56="jun",V56="dec")),Y55*X43/100,IF(AND(Y37=1,OR(V56="jan",V56="apr",V56="jul",V56="okt")),Y55*X43/100,"0"))))</f>
        <v>5499.900454501751</v>
      </c>
      <c r="X56" s="153">
        <f>IF(W56="0","0",X42-W56)</f>
        <v>6.099545498249427</v>
      </c>
      <c r="Y56" s="74">
        <f t="shared" si="6"/>
        <v>999975.8012730017</v>
      </c>
      <c r="Z56" s="146"/>
      <c r="AA56" s="135" t="str">
        <f t="shared" si="7"/>
        <v>dec</v>
      </c>
      <c r="AB56" s="140">
        <f>IF(AD40=4,AD55*AC43/100,IF(AND(AD38=2,OR(AA56="mar",AA56="jun",AA56="sep",AA56="dec")),AD55*AC43/100,IF(AND(AD39=3,OR(AA56="jun",AA56="dec")),AD55*AC43/100,IF(AND(AD37=1,OR(AA56="jan",AA56="apr",AA56="jul",AA56="okt")),AD55*AC43/100,"0"))))</f>
        <v>22466.359724668124</v>
      </c>
      <c r="AC56" s="140">
        <f>IF(AB56="0","0",AC42-AB56)</f>
        <v>38379.640275331876</v>
      </c>
      <c r="AD56" s="141">
        <f t="shared" si="8"/>
        <v>4454892.304658293</v>
      </c>
      <c r="AE56" s="126"/>
      <c r="AF56" s="135" t="str">
        <f t="shared" si="9"/>
        <v>dec</v>
      </c>
      <c r="AG56" s="21">
        <v>15410</v>
      </c>
      <c r="AH56" s="21"/>
      <c r="AI56" s="140">
        <f>IF(AI39=AF56,AI55-AH56+AI40,AI55-AH56)</f>
        <v>1114667</v>
      </c>
      <c r="AK56" s="135" t="str">
        <f t="shared" si="10"/>
        <v>dec</v>
      </c>
      <c r="AL56" s="140" t="str">
        <f t="shared" si="11"/>
        <v>0</v>
      </c>
      <c r="AM56" s="140" t="str">
        <f>IF(AL56="0","0",AM42-AL56)</f>
        <v>0</v>
      </c>
      <c r="AN56" s="141">
        <f t="shared" si="12"/>
        <v>0</v>
      </c>
      <c r="AP56" s="135" t="str">
        <f t="shared" si="13"/>
        <v>dec</v>
      </c>
      <c r="AQ56" s="140" t="str">
        <f>IF(AS40=4,AS55*AR43/100,IF(AND(AS38=2,OR(AP56="mar",AP56="jun",AP56="sep",AP56="dec")),AS55*AR43/100,IF(AND(AS39=3,OR(AP56="jun",AP56="dec")),AS55*AR43/100,IF(AND(AS37=1,OR(AP56="jan",AP56="apr",AP56="jul",AP56="okt")),AS55*AR43/100,"0"))))</f>
        <v>0</v>
      </c>
      <c r="AR56" s="140" t="str">
        <f>IF(AQ56="0","0",AR42-AQ56)</f>
        <v>0</v>
      </c>
      <c r="AS56" s="141">
        <f t="shared" si="14"/>
        <v>0</v>
      </c>
      <c r="AU56" s="135" t="str">
        <f t="shared" si="15"/>
        <v>dec</v>
      </c>
      <c r="AV56" s="140" t="str">
        <f>IF(AX40=4,AX55*AW43/100,IF(AND(AX38=2,OR(AU56="mar",AU56="jun",AU56="sep",AU56="dec")),AX55*AW43/100,IF(AND(AX39=3,OR(AU56="jun",AU56="dec")),AX55*AW43/100,IF(AND(AX37=1,OR(AU56="jan",AU56="apr",AU56="jul",AU56="okt")),AX55*AW43/100,"0"))))</f>
        <v>0</v>
      </c>
      <c r="AW56" s="140" t="str">
        <f>IF(AV56="0","0",AW42-AV56)</f>
        <v>0</v>
      </c>
      <c r="AX56" s="141">
        <f t="shared" si="16"/>
        <v>0</v>
      </c>
      <c r="AZ56" s="135" t="str">
        <f t="shared" si="17"/>
        <v>dec</v>
      </c>
      <c r="BA56" s="140">
        <f>IF(BC40=4,BC55*BB43/100,IF(AND(BC38=2,OR(AZ56="mar",AZ56="jun",AZ56="sep",AZ56="dec")),BC55*BB43/100,IF(AND(BC39=3,OR(AZ56="jun",AZ56="dec")),BC55*BB43/100,IF(AND(BC37=1,OR(AZ56="jan",AZ56="apr",AZ56="jul",AZ56="okt")),BC55*BB43/100,"0"))))</f>
        <v>0</v>
      </c>
      <c r="BB56" s="140">
        <f>IF(BA56="0","0",BB42-BA56)</f>
        <v>0</v>
      </c>
      <c r="BC56" s="141">
        <f t="shared" si="18"/>
        <v>0</v>
      </c>
      <c r="BE56" s="135" t="str">
        <f t="shared" si="19"/>
        <v>dec</v>
      </c>
      <c r="BF56" s="21"/>
      <c r="BG56" s="21"/>
      <c r="BH56" s="141">
        <f>IF(BH39=BE56,BG41-BG56+BH40,BH55-BG56)</f>
        <v>0</v>
      </c>
      <c r="BI56" s="18">
        <f t="shared" si="20"/>
        <v>0</v>
      </c>
      <c r="BJ56" s="18">
        <f t="shared" si="22"/>
        <v>0</v>
      </c>
    </row>
    <row r="57" spans="1:62" ht="12.75">
      <c r="A57" s="100"/>
      <c r="B57" s="415" t="s">
        <v>278</v>
      </c>
      <c r="C57" s="413"/>
      <c r="D57" s="414"/>
      <c r="E57" s="13">
        <v>257</v>
      </c>
      <c r="F57" s="316">
        <v>236</v>
      </c>
      <c r="G57" s="316"/>
      <c r="H57" s="316"/>
      <c r="I57" s="316"/>
      <c r="J57" s="316"/>
      <c r="K57" s="91"/>
      <c r="L57" s="73"/>
      <c r="M57" s="142">
        <f>SUM(M45:M56)</f>
        <v>61194.269043285574</v>
      </c>
      <c r="N57" s="142">
        <f>SUM(N45:N56)</f>
        <v>24009.730956714422</v>
      </c>
      <c r="O57" s="73"/>
      <c r="P57" s="91"/>
      <c r="Q57" s="73"/>
      <c r="R57" s="142">
        <f>SUM(R45:R56)</f>
        <v>84333.59229621738</v>
      </c>
      <c r="S57" s="142">
        <f>SUM(S45:S56)</f>
        <v>41206.40770378262</v>
      </c>
      <c r="T57" s="73"/>
      <c r="U57" s="146"/>
      <c r="V57" s="73"/>
      <c r="W57" s="142">
        <f>SUM(W45:W56)</f>
        <v>21999.80127300175</v>
      </c>
      <c r="X57" s="142">
        <f>SUM(X45:X56)</f>
        <v>24.198726998249185</v>
      </c>
      <c r="Y57" s="73"/>
      <c r="Z57" s="91"/>
      <c r="AA57" s="73"/>
      <c r="AB57" s="142">
        <f>SUM(AB45:AB56)</f>
        <v>91007.30465829311</v>
      </c>
      <c r="AC57" s="142">
        <f>SUM(AC45:AC56)</f>
        <v>152376.6953417069</v>
      </c>
      <c r="AD57" s="73"/>
      <c r="AE57" s="91"/>
      <c r="AF57" s="73"/>
      <c r="AG57" s="142">
        <f>SUM(AG45:AG56)</f>
        <v>61640</v>
      </c>
      <c r="AH57" s="142">
        <f>SUM(AH45:AH56)</f>
        <v>0</v>
      </c>
      <c r="AI57" s="73"/>
      <c r="AK57" s="73"/>
      <c r="AL57" s="142">
        <f>SUM(AL45:AL56)</f>
        <v>0</v>
      </c>
      <c r="AM57" s="142">
        <f>SUM(AM45:AM56)</f>
        <v>0</v>
      </c>
      <c r="AN57" s="73"/>
      <c r="AP57" s="73"/>
      <c r="AQ57" s="142">
        <f>SUM(AQ45:AQ56)</f>
        <v>0</v>
      </c>
      <c r="AR57" s="142">
        <f>SUM(AR45:AR56)</f>
        <v>0</v>
      </c>
      <c r="AS57" s="73"/>
      <c r="AU57" s="73"/>
      <c r="AV57" s="142">
        <f>SUM(AV45:AV56)</f>
        <v>0</v>
      </c>
      <c r="AW57" s="142">
        <f>SUM(AW45:AW56)</f>
        <v>0</v>
      </c>
      <c r="AX57" s="73"/>
      <c r="AZ57" s="73"/>
      <c r="BA57" s="142">
        <f>SUM(BA45:BA56)</f>
        <v>0</v>
      </c>
      <c r="BB57" s="142">
        <f>SUM(BB45:BB56)</f>
        <v>0</v>
      </c>
      <c r="BC57" s="73"/>
      <c r="BE57" s="73"/>
      <c r="BF57" s="142">
        <f>SUM(BF45:BF56)</f>
        <v>0</v>
      </c>
      <c r="BG57" s="142">
        <f>SUM(BG45:BG56)</f>
        <v>0</v>
      </c>
      <c r="BH57" s="73"/>
      <c r="BI57" s="18">
        <f t="shared" si="20"/>
        <v>0</v>
      </c>
      <c r="BJ57" s="18">
        <f t="shared" si="22"/>
        <v>0</v>
      </c>
    </row>
    <row r="58" spans="1:62" ht="12.75">
      <c r="A58" s="347"/>
      <c r="B58" s="415" t="s">
        <v>268</v>
      </c>
      <c r="C58" s="413"/>
      <c r="D58" s="414"/>
      <c r="E58" s="13"/>
      <c r="F58" s="316">
        <v>0</v>
      </c>
      <c r="G58" s="316"/>
      <c r="H58" s="316"/>
      <c r="I58" s="316"/>
      <c r="J58" s="316"/>
      <c r="K58" s="91"/>
      <c r="L58" s="91"/>
      <c r="M58" s="91"/>
      <c r="N58" s="183"/>
      <c r="O58" s="91"/>
      <c r="P58" s="91"/>
      <c r="Q58" s="91"/>
      <c r="R58" s="91"/>
      <c r="S58" s="183"/>
      <c r="T58" s="91"/>
      <c r="U58" s="146"/>
      <c r="V58" s="91"/>
      <c r="W58" s="91"/>
      <c r="X58" s="91"/>
      <c r="Y58" s="91"/>
      <c r="Z58" s="91"/>
      <c r="AA58" s="91"/>
      <c r="AB58" s="91"/>
      <c r="AC58" s="91"/>
      <c r="AD58" s="91"/>
      <c r="AE58" s="91"/>
      <c r="AF58" s="91"/>
      <c r="AG58" s="91"/>
      <c r="AH58" s="91"/>
      <c r="AI58" s="91"/>
      <c r="BI58" s="18">
        <f t="shared" si="20"/>
        <v>79447.8131692734</v>
      </c>
      <c r="BJ58" s="18">
        <f t="shared" si="22"/>
        <v>55000.186830726605</v>
      </c>
    </row>
    <row r="59" spans="1:62" ht="12.75">
      <c r="A59" s="347"/>
      <c r="B59" s="415" t="s">
        <v>235</v>
      </c>
      <c r="C59" s="413"/>
      <c r="D59" s="414"/>
      <c r="E59" s="13">
        <v>27</v>
      </c>
      <c r="F59" s="316">
        <v>33</v>
      </c>
      <c r="G59" s="316"/>
      <c r="H59" s="316"/>
      <c r="I59" s="316"/>
      <c r="J59" s="316"/>
      <c r="K59" s="91"/>
      <c r="L59" s="73"/>
      <c r="M59" s="76" t="s">
        <v>181</v>
      </c>
      <c r="N59" s="77"/>
      <c r="O59" s="78"/>
      <c r="P59" s="214" t="s">
        <v>208</v>
      </c>
      <c r="Q59" s="73"/>
      <c r="R59" s="76" t="s">
        <v>203</v>
      </c>
      <c r="S59" s="77"/>
      <c r="T59" s="78"/>
      <c r="U59" s="146"/>
      <c r="V59" s="73"/>
      <c r="W59" s="76" t="s">
        <v>203</v>
      </c>
      <c r="X59" s="77"/>
      <c r="Y59" s="78"/>
      <c r="Z59" s="101"/>
      <c r="AA59" s="73"/>
      <c r="AB59" s="76" t="s">
        <v>203</v>
      </c>
      <c r="AC59" s="77"/>
      <c r="AD59" s="78"/>
      <c r="AE59" s="211"/>
      <c r="AF59" s="73"/>
      <c r="AG59" s="76" t="s">
        <v>203</v>
      </c>
      <c r="AH59" s="77"/>
      <c r="AI59" s="78"/>
      <c r="BI59" s="332"/>
      <c r="BJ59" s="332"/>
    </row>
    <row r="60" spans="1:35" ht="12.75">
      <c r="A60" s="347"/>
      <c r="B60" s="137" t="s">
        <v>286</v>
      </c>
      <c r="C60" s="127"/>
      <c r="D60" s="128"/>
      <c r="E60" s="13"/>
      <c r="F60" s="316">
        <v>0</v>
      </c>
      <c r="G60" s="316"/>
      <c r="H60" s="316"/>
      <c r="I60" s="316"/>
      <c r="J60" s="316"/>
      <c r="K60" s="91"/>
      <c r="L60" s="73"/>
      <c r="M60" s="137" t="s">
        <v>292</v>
      </c>
      <c r="N60" s="127"/>
      <c r="O60" s="128"/>
      <c r="P60" s="139"/>
      <c r="Q60" s="84"/>
      <c r="R60" s="137" t="s">
        <v>292</v>
      </c>
      <c r="S60" s="127"/>
      <c r="T60" s="128"/>
      <c r="U60" s="146"/>
      <c r="V60" s="84"/>
      <c r="W60" s="137" t="s">
        <v>292</v>
      </c>
      <c r="X60" s="127"/>
      <c r="Y60" s="128"/>
      <c r="Z60" s="145"/>
      <c r="AA60" s="84"/>
      <c r="AB60" s="137" t="s">
        <v>188</v>
      </c>
      <c r="AC60" s="127"/>
      <c r="AD60" s="128"/>
      <c r="AE60" s="145"/>
      <c r="AF60" s="84"/>
      <c r="AG60" s="137" t="s">
        <v>34</v>
      </c>
      <c r="AH60" s="127"/>
      <c r="AI60" s="128"/>
    </row>
    <row r="61" spans="1:35" ht="12.75">
      <c r="A61" s="347"/>
      <c r="B61" s="137" t="s">
        <v>287</v>
      </c>
      <c r="C61" s="127"/>
      <c r="D61" s="128"/>
      <c r="E61" s="13">
        <v>91</v>
      </c>
      <c r="F61" s="316">
        <v>91</v>
      </c>
      <c r="G61" s="316"/>
      <c r="H61" s="316"/>
      <c r="I61" s="316"/>
      <c r="J61" s="316"/>
      <c r="K61" s="91"/>
      <c r="L61" s="73"/>
      <c r="M61" s="83" t="s">
        <v>170</v>
      </c>
      <c r="N61" s="24"/>
      <c r="O61" s="143">
        <f>IF(N61="x",1,"")</f>
      </c>
      <c r="P61" s="91"/>
      <c r="Q61" s="73"/>
      <c r="R61" s="48" t="s">
        <v>170</v>
      </c>
      <c r="S61" s="24"/>
      <c r="T61" s="143">
        <f>IF(S61="x",1,"")</f>
      </c>
      <c r="U61" s="91"/>
      <c r="V61" s="73"/>
      <c r="W61" s="83" t="s">
        <v>170</v>
      </c>
      <c r="X61" s="24"/>
      <c r="Y61" s="143">
        <f>IF(X61="x",1,"")</f>
      </c>
      <c r="Z61" s="148"/>
      <c r="AA61" s="73"/>
      <c r="AB61" s="83" t="s">
        <v>170</v>
      </c>
      <c r="AC61" s="24"/>
      <c r="AD61" s="143">
        <f>IF(AC61="x",1,"")</f>
      </c>
      <c r="AE61" s="151"/>
      <c r="AF61" s="73"/>
      <c r="AG61" s="58"/>
      <c r="AH61" s="49"/>
      <c r="AI61" s="59"/>
    </row>
    <row r="62" spans="1:35" ht="12.75">
      <c r="A62" s="100"/>
      <c r="B62" s="415" t="s">
        <v>269</v>
      </c>
      <c r="C62" s="413"/>
      <c r="D62" s="414"/>
      <c r="E62" s="13">
        <v>30</v>
      </c>
      <c r="F62" s="316">
        <v>39</v>
      </c>
      <c r="G62" s="316"/>
      <c r="H62" s="316"/>
      <c r="I62" s="316"/>
      <c r="J62" s="316"/>
      <c r="K62" s="91"/>
      <c r="L62" s="73"/>
      <c r="M62" s="83" t="s">
        <v>171</v>
      </c>
      <c r="N62" s="25" t="s">
        <v>59</v>
      </c>
      <c r="O62" s="143">
        <f>IF(N62="x",2,"")</f>
        <v>2</v>
      </c>
      <c r="P62" s="91"/>
      <c r="Q62" s="73"/>
      <c r="R62" s="48" t="s">
        <v>171</v>
      </c>
      <c r="S62" s="25" t="s">
        <v>59</v>
      </c>
      <c r="T62" s="143">
        <f>IF(S62="x",2,"")</f>
        <v>2</v>
      </c>
      <c r="U62" s="91"/>
      <c r="V62" s="73"/>
      <c r="W62" s="83" t="s">
        <v>171</v>
      </c>
      <c r="X62" s="25" t="s">
        <v>293</v>
      </c>
      <c r="Y62" s="143">
        <f>IF(X62="x",2,"")</f>
      </c>
      <c r="Z62" s="148"/>
      <c r="AA62" s="73"/>
      <c r="AB62" s="83" t="s">
        <v>171</v>
      </c>
      <c r="AC62" s="25"/>
      <c r="AD62" s="143">
        <f>IF(AC62="x",2,"")</f>
      </c>
      <c r="AE62" s="101"/>
      <c r="AF62" s="73"/>
      <c r="AG62" s="60"/>
      <c r="AH62" s="49"/>
      <c r="AI62" s="61"/>
    </row>
    <row r="63" spans="1:35" ht="12.75">
      <c r="A63" s="100"/>
      <c r="B63" s="415" t="s">
        <v>20</v>
      </c>
      <c r="C63" s="413"/>
      <c r="D63" s="414"/>
      <c r="E63" s="13">
        <v>10</v>
      </c>
      <c r="F63" s="316">
        <v>10</v>
      </c>
      <c r="G63" s="316"/>
      <c r="H63" s="316"/>
      <c r="I63" s="316"/>
      <c r="J63" s="316"/>
      <c r="K63" s="91"/>
      <c r="L63" s="73"/>
      <c r="M63" s="83">
        <v>6.12</v>
      </c>
      <c r="N63" s="24"/>
      <c r="O63" s="143">
        <f>IF(N63="x",3,"")</f>
      </c>
      <c r="P63" s="91"/>
      <c r="Q63" s="73"/>
      <c r="R63" s="48">
        <v>6.12</v>
      </c>
      <c r="S63" s="24"/>
      <c r="T63" s="143">
        <f>IF(S63="x",3,"")</f>
      </c>
      <c r="U63" s="101"/>
      <c r="V63" s="73"/>
      <c r="W63" s="83">
        <v>6.12</v>
      </c>
      <c r="X63" s="24"/>
      <c r="Y63" s="143">
        <f>IF(X63="x",3,"")</f>
      </c>
      <c r="Z63" s="148"/>
      <c r="AA63" s="73"/>
      <c r="AB63" s="83">
        <v>6.12</v>
      </c>
      <c r="AC63" s="24"/>
      <c r="AD63" s="143">
        <f>IF(AC63="x",3,"")</f>
      </c>
      <c r="AE63" s="151"/>
      <c r="AF63" s="73"/>
      <c r="AG63" s="60"/>
      <c r="AH63" s="49"/>
      <c r="AI63" s="420"/>
    </row>
    <row r="64" spans="1:35" ht="12.75">
      <c r="A64" s="100"/>
      <c r="B64" s="81" t="s">
        <v>16</v>
      </c>
      <c r="C64" s="77"/>
      <c r="D64" s="78"/>
      <c r="E64" s="134">
        <f aca="true" t="shared" si="23" ref="E64:J64">SUM(E54:E63)</f>
        <v>465</v>
      </c>
      <c r="F64" s="134">
        <f t="shared" si="23"/>
        <v>435</v>
      </c>
      <c r="G64" s="134">
        <f t="shared" si="23"/>
        <v>0</v>
      </c>
      <c r="H64" s="134">
        <f t="shared" si="23"/>
        <v>0</v>
      </c>
      <c r="I64" s="134">
        <f t="shared" si="23"/>
        <v>0</v>
      </c>
      <c r="J64" s="134">
        <f t="shared" si="23"/>
        <v>0</v>
      </c>
      <c r="K64" s="91"/>
      <c r="L64" s="73"/>
      <c r="M64" s="83" t="s">
        <v>172</v>
      </c>
      <c r="N64" s="24"/>
      <c r="O64" s="143">
        <f>IF(N64="x",4,"")</f>
      </c>
      <c r="P64" s="91"/>
      <c r="Q64" s="73"/>
      <c r="R64" s="48" t="s">
        <v>172</v>
      </c>
      <c r="S64" s="24"/>
      <c r="T64" s="143">
        <f>IF(S64="x",4,"")</f>
      </c>
      <c r="U64" s="145"/>
      <c r="V64" s="73"/>
      <c r="W64" s="83" t="s">
        <v>172</v>
      </c>
      <c r="X64" s="24" t="s">
        <v>59</v>
      </c>
      <c r="Y64" s="143">
        <f>IF(X64="x",4,"")</f>
        <v>4</v>
      </c>
      <c r="Z64" s="148"/>
      <c r="AA64" s="73"/>
      <c r="AB64" s="83" t="s">
        <v>172</v>
      </c>
      <c r="AC64" s="24" t="s">
        <v>59</v>
      </c>
      <c r="AD64" s="143">
        <f>IF(AC64="x",4,"")</f>
        <v>4</v>
      </c>
      <c r="AE64" s="101"/>
      <c r="AF64" s="73"/>
      <c r="AG64" s="62"/>
      <c r="AH64" s="49"/>
      <c r="AI64" s="421"/>
    </row>
    <row r="65" spans="1:35" ht="12.75">
      <c r="A65" s="136">
        <v>3</v>
      </c>
      <c r="B65" s="101"/>
      <c r="C65" s="101"/>
      <c r="D65" s="101"/>
      <c r="E65" s="126"/>
      <c r="F65" s="126"/>
      <c r="G65" s="126"/>
      <c r="H65" s="126"/>
      <c r="I65" s="126"/>
      <c r="J65" s="126"/>
      <c r="K65" s="91"/>
      <c r="L65" s="73"/>
      <c r="M65" s="73" t="s">
        <v>168</v>
      </c>
      <c r="N65" s="20">
        <v>199183</v>
      </c>
      <c r="O65" s="201" t="s">
        <v>176</v>
      </c>
      <c r="P65" s="91"/>
      <c r="Q65" s="73"/>
      <c r="R65" s="46" t="s">
        <v>168</v>
      </c>
      <c r="S65" s="20"/>
      <c r="T65" s="186" t="s">
        <v>176</v>
      </c>
      <c r="U65" s="100"/>
      <c r="V65" s="73"/>
      <c r="W65" s="73" t="s">
        <v>168</v>
      </c>
      <c r="X65" s="20"/>
      <c r="Y65" s="201" t="s">
        <v>176</v>
      </c>
      <c r="Z65" s="149"/>
      <c r="AA65" s="73"/>
      <c r="AB65" s="73" t="s">
        <v>168</v>
      </c>
      <c r="AC65" s="20"/>
      <c r="AD65" s="201" t="s">
        <v>176</v>
      </c>
      <c r="AE65" s="152"/>
      <c r="AF65" s="73"/>
      <c r="AG65" s="73" t="s">
        <v>168</v>
      </c>
      <c r="AH65" s="20">
        <v>-99391</v>
      </c>
      <c r="AI65" s="419" t="s">
        <v>176</v>
      </c>
    </row>
    <row r="66" spans="1:35" ht="12.75">
      <c r="A66" s="100"/>
      <c r="B66" s="47" t="s">
        <v>21</v>
      </c>
      <c r="C66" s="107"/>
      <c r="D66" s="59"/>
      <c r="E66" s="131"/>
      <c r="F66" s="132"/>
      <c r="G66" s="132"/>
      <c r="H66" s="132"/>
      <c r="I66" s="132"/>
      <c r="J66" s="133"/>
      <c r="K66" s="91"/>
      <c r="L66" s="73"/>
      <c r="M66" s="73" t="s">
        <v>163</v>
      </c>
      <c r="N66" s="20">
        <v>9900</v>
      </c>
      <c r="O66" s="201" t="s">
        <v>177</v>
      </c>
      <c r="P66" s="91"/>
      <c r="Q66" s="73"/>
      <c r="R66" s="46" t="s">
        <v>163</v>
      </c>
      <c r="S66" s="20"/>
      <c r="T66" s="186" t="s">
        <v>177</v>
      </c>
      <c r="U66" s="100"/>
      <c r="V66" s="73"/>
      <c r="W66" s="73" t="s">
        <v>163</v>
      </c>
      <c r="X66" s="20"/>
      <c r="Y66" s="201" t="s">
        <v>177</v>
      </c>
      <c r="Z66" s="149"/>
      <c r="AA66" s="73"/>
      <c r="AB66" s="73" t="s">
        <v>163</v>
      </c>
      <c r="AC66" s="20"/>
      <c r="AD66" s="201" t="s">
        <v>177</v>
      </c>
      <c r="AE66" s="148"/>
      <c r="AF66" s="73"/>
      <c r="AG66" s="73"/>
      <c r="AH66" s="154"/>
      <c r="AI66" s="201" t="s">
        <v>177</v>
      </c>
    </row>
    <row r="67" spans="1:35" ht="12.75">
      <c r="A67" s="100"/>
      <c r="B67" s="76" t="s">
        <v>22</v>
      </c>
      <c r="C67" s="77"/>
      <c r="D67" s="78"/>
      <c r="E67" s="12">
        <v>88</v>
      </c>
      <c r="F67" s="315">
        <v>88</v>
      </c>
      <c r="G67" s="315"/>
      <c r="H67" s="315"/>
      <c r="I67" s="315"/>
      <c r="J67" s="315"/>
      <c r="K67" s="91"/>
      <c r="L67" s="73"/>
      <c r="M67" s="73" t="s">
        <v>169</v>
      </c>
      <c r="N67" s="9">
        <v>1.78</v>
      </c>
      <c r="O67" s="200">
        <f>BH43-N65</f>
        <v>-95876</v>
      </c>
      <c r="P67" s="91"/>
      <c r="Q67" s="73"/>
      <c r="R67" s="46" t="s">
        <v>169</v>
      </c>
      <c r="S67" s="9"/>
      <c r="T67" s="202">
        <f>O67-S65</f>
        <v>-95876</v>
      </c>
      <c r="U67" s="100"/>
      <c r="V67" s="73"/>
      <c r="W67" s="73" t="s">
        <v>169</v>
      </c>
      <c r="X67" s="9"/>
      <c r="Y67" s="200">
        <f>T67-X65</f>
        <v>-95876</v>
      </c>
      <c r="Z67" s="150"/>
      <c r="AA67" s="73"/>
      <c r="AB67" s="73" t="s">
        <v>169</v>
      </c>
      <c r="AC67" s="9"/>
      <c r="AD67" s="200">
        <f>Y67-AC65</f>
        <v>-95876</v>
      </c>
      <c r="AE67" s="126"/>
      <c r="AF67" s="73"/>
      <c r="AG67" s="73"/>
      <c r="AH67" s="84"/>
      <c r="AI67" s="200">
        <f>AD67-AH65</f>
        <v>3515</v>
      </c>
    </row>
    <row r="68" spans="1:38" ht="12.75">
      <c r="A68" s="100"/>
      <c r="B68" s="76" t="s">
        <v>174</v>
      </c>
      <c r="C68" s="77"/>
      <c r="D68" s="78"/>
      <c r="E68" s="12"/>
      <c r="F68" s="315"/>
      <c r="G68" s="315"/>
      <c r="H68" s="315"/>
      <c r="I68" s="315"/>
      <c r="J68" s="315"/>
      <c r="K68" s="91"/>
      <c r="L68" s="73"/>
      <c r="M68" s="83" t="s">
        <v>93</v>
      </c>
      <c r="N68" s="83" t="s">
        <v>95</v>
      </c>
      <c r="O68" s="73" t="s">
        <v>168</v>
      </c>
      <c r="P68" s="91"/>
      <c r="Q68" s="73"/>
      <c r="R68" s="48" t="s">
        <v>93</v>
      </c>
      <c r="S68" s="48" t="s">
        <v>95</v>
      </c>
      <c r="T68" s="46" t="s">
        <v>168</v>
      </c>
      <c r="U68" s="100"/>
      <c r="V68" s="73"/>
      <c r="W68" s="83" t="s">
        <v>93</v>
      </c>
      <c r="X68" s="83" t="s">
        <v>95</v>
      </c>
      <c r="Y68" s="73" t="s">
        <v>168</v>
      </c>
      <c r="Z68" s="100"/>
      <c r="AA68" s="73"/>
      <c r="AB68" s="83" t="s">
        <v>93</v>
      </c>
      <c r="AC68" s="83" t="s">
        <v>95</v>
      </c>
      <c r="AD68" s="73" t="s">
        <v>168</v>
      </c>
      <c r="AE68" s="101"/>
      <c r="AF68" s="73"/>
      <c r="AG68" s="83" t="s">
        <v>93</v>
      </c>
      <c r="AH68" s="83" t="s">
        <v>95</v>
      </c>
      <c r="AI68" s="73" t="s">
        <v>168</v>
      </c>
      <c r="AL68" s="19" t="s">
        <v>280</v>
      </c>
    </row>
    <row r="69" spans="1:38" ht="12.75">
      <c r="A69" s="136"/>
      <c r="B69" s="104" t="s">
        <v>23</v>
      </c>
      <c r="C69" s="77"/>
      <c r="D69" s="78"/>
      <c r="E69" s="13">
        <v>153</v>
      </c>
      <c r="F69" s="316">
        <v>153</v>
      </c>
      <c r="G69" s="316"/>
      <c r="H69" s="316"/>
      <c r="I69" s="316"/>
      <c r="J69" s="316"/>
      <c r="K69" s="91"/>
      <c r="L69" s="135" t="str">
        <f>L94</f>
        <v>jan</v>
      </c>
      <c r="M69" s="140" t="str">
        <f>IF(O64=4,N67*N65/100,IF(AND(O62=2,OR(L69="mar",L69="jun",L69="sep",L69="dec")),N65*N67/100,IF(AND(O63=3,OR(L69="jun",L69="dec")),N65*N67/100,IF(AND(O61=1,OR(L69="jan",L69="apr",L69="jul",L69="okt")),N65*N67/100,"0"))))</f>
        <v>0</v>
      </c>
      <c r="N69" s="140" t="str">
        <f>IF(M69="0","0",N66-M69)</f>
        <v>0</v>
      </c>
      <c r="O69" s="141">
        <f>N65-N69</f>
        <v>199183</v>
      </c>
      <c r="P69" s="91"/>
      <c r="Q69" s="65" t="str">
        <f>L69</f>
        <v>jan</v>
      </c>
      <c r="R69" s="153" t="str">
        <f>IF(T64=4,S67*S65/100,IF(AND(T62=2,OR(Q69="mar",Q69="jun",Q69="sep",Q69="dec")),S65*S67/100,IF(AND(T63=3,OR(Q69="jun",Q69="dec")),S65*S67/100,IF(AND(T61=1,OR(Q69="jan",Q69="apr",Q69="jul",Q69="okt")),S65*S67/100,"0"))))</f>
        <v>0</v>
      </c>
      <c r="S69" s="153" t="str">
        <f>IF(R69="0","0",S66-R69)</f>
        <v>0</v>
      </c>
      <c r="T69" s="74">
        <f>S65-S69</f>
        <v>0</v>
      </c>
      <c r="U69" s="101"/>
      <c r="V69" s="135" t="str">
        <f>Q69</f>
        <v>jan</v>
      </c>
      <c r="W69" s="140">
        <f>IF(Y64=4,X67*X65/100,IF(AND(Y62=2,OR(V69="mar",V69="jun",V69="sep",V69="dec")),X65*X67/100,IF(AND(Y63=3,OR(V69="jun",V69="dec")),X65*X67/100,IF(AND(Y61=1,OR(V69="jan",V69="apr",V69="jul",V69="okt")),X65*X67/100,"0"))))</f>
        <v>0</v>
      </c>
      <c r="X69" s="140">
        <f>IF(W69="0","0",X66-W69)</f>
        <v>0</v>
      </c>
      <c r="Y69" s="141">
        <f>X65-X69</f>
        <v>0</v>
      </c>
      <c r="Z69" s="146"/>
      <c r="AA69" s="135" t="str">
        <f>V69</f>
        <v>jan</v>
      </c>
      <c r="AB69" s="140">
        <f>IF(AD64=4,AC67*AC65/100,IF(AND(AD62=2,OR(AA69="mar",AA69="jun",AA69="sep",AA69="dec")),AC65*AC67/100,IF(AND(AD63=3,OR(AA69="jun",AA69="dec")),AC65*AC67/100,IF(AND(AD61=1,OR(AA69="jan",AA69="apr",AA69="jul",AA69="okt")),AC65*AC67/100,"0"))))</f>
        <v>0</v>
      </c>
      <c r="AC69" s="140">
        <f>IF(AB69="0","0",AC66-AB69)</f>
        <v>0</v>
      </c>
      <c r="AD69" s="141">
        <f>AC65-AC69</f>
        <v>0</v>
      </c>
      <c r="AE69" s="146"/>
      <c r="AF69" s="135" t="str">
        <f>AA69</f>
        <v>jan</v>
      </c>
      <c r="AG69" s="21"/>
      <c r="AH69" s="21"/>
      <c r="AI69" s="140">
        <f>IF(AI63=AF69,AH65-AH69+AI64,AH65-AH69)</f>
        <v>-99391</v>
      </c>
      <c r="AL69" s="18">
        <f>M69+R69+W69+AB69+AG69</f>
        <v>0</v>
      </c>
    </row>
    <row r="70" spans="1:38" ht="12.75">
      <c r="A70" s="195" t="s">
        <v>209</v>
      </c>
      <c r="B70" s="162" t="s">
        <v>24</v>
      </c>
      <c r="C70" s="163"/>
      <c r="D70" s="163"/>
      <c r="E70" s="52">
        <f>I128</f>
        <v>0</v>
      </c>
      <c r="F70" s="317"/>
      <c r="G70" s="317"/>
      <c r="H70" s="317"/>
      <c r="I70" s="317"/>
      <c r="J70" s="317"/>
      <c r="K70" s="91"/>
      <c r="L70" s="135" t="str">
        <f aca="true" t="shared" si="24" ref="L70:L80">L95</f>
        <v>feb</v>
      </c>
      <c r="M70" s="140" t="str">
        <f>IF(O64=4,O69*N67/100,IF(AND(O62=2,OR(L70="mar",L70="jun",L70="sep",L70="dec")),N65*N67/100,IF(AND(O63=3,OR(L70="jun",L70="dec")),N65*N67/100,IF(AND(O61=1,OR(L70="jan",L70="apr",L70="jul",L70="okt")),N65*N67/100,"0"))))</f>
        <v>0</v>
      </c>
      <c r="N70" s="140" t="str">
        <f>IF(M70="0","0",N66-M70)</f>
        <v>0</v>
      </c>
      <c r="O70" s="141">
        <f aca="true" t="shared" si="25" ref="O70:O80">O69-N70</f>
        <v>199183</v>
      </c>
      <c r="P70" s="91"/>
      <c r="Q70" s="65" t="str">
        <f aca="true" t="shared" si="26" ref="Q70:Q80">L70</f>
        <v>feb</v>
      </c>
      <c r="R70" s="153" t="str">
        <f>IF(T64=4,T69*S67/100,IF(AND(T62=2,OR(Q70="mar",Q70="jun",Q70="sep",Q70="dec")),S65*S67/100,IF(AND(T63=3,OR(Q70="jun",Q70="dec")),S65*S67/100,IF(AND(T61=1,OR(Q70="jan",Q70="apr",Q70="jul",Q70="okt")),S65*S67/100,"0"))))</f>
        <v>0</v>
      </c>
      <c r="S70" s="153" t="str">
        <f>IF(R70="0","0",S66-R70)</f>
        <v>0</v>
      </c>
      <c r="T70" s="74">
        <f aca="true" t="shared" si="27" ref="T70:T80">T69-S70</f>
        <v>0</v>
      </c>
      <c r="U70" s="101"/>
      <c r="V70" s="135" t="str">
        <f aca="true" t="shared" si="28" ref="V70:V80">Q70</f>
        <v>feb</v>
      </c>
      <c r="W70" s="140">
        <f>IF(Y64=4,Y69*X67/100,IF(AND(Y62=2,OR(V70="mar",V70="jun",V70="sep",V70="dec")),X65*X67/100,IF(AND(Y63=3,OR(V70="jun",V70="dec")),X65*X67/100,IF(AND(Y61=1,OR(V70="jan",V70="apr",V70="jul",V70="okt")),X65*X67/100,"0"))))</f>
        <v>0</v>
      </c>
      <c r="X70" s="140">
        <f>IF(W70="0","0",X66-W70)</f>
        <v>0</v>
      </c>
      <c r="Y70" s="141">
        <f aca="true" t="shared" si="29" ref="Y70:Y80">Y69-X70</f>
        <v>0</v>
      </c>
      <c r="Z70" s="146"/>
      <c r="AA70" s="135" t="str">
        <f aca="true" t="shared" si="30" ref="AA70:AA80">V70</f>
        <v>feb</v>
      </c>
      <c r="AB70" s="140">
        <f>IF(AD64=4,AD69*AC67/100,IF(AND(AD62=2,OR(AA70="mar",AA70="jun",AA70="sep",AA70="dec")),AC65*AC67/100,IF(AND(AD63=3,OR(AA70="jun",AA70="dec")),AC65*AC67/100,IF(AND(AD61=1,OR(AA70="jan",AA70="apr",AA70="jul",AA70="okt")),AC65*AC67/100,"0"))))</f>
        <v>0</v>
      </c>
      <c r="AC70" s="140">
        <f>IF(AB70="0","0",AC66-AB70)</f>
        <v>0</v>
      </c>
      <c r="AD70" s="141">
        <f aca="true" t="shared" si="31" ref="AD70:AD80">AD69-AC70</f>
        <v>0</v>
      </c>
      <c r="AE70" s="126"/>
      <c r="AF70" s="135" t="str">
        <f aca="true" t="shared" si="32" ref="AF70:AF80">AA70</f>
        <v>feb</v>
      </c>
      <c r="AG70" s="21"/>
      <c r="AH70" s="21"/>
      <c r="AI70" s="140">
        <f>IF(AI63=AF70,AH64-AH70+AI64,AI69-AH70)</f>
        <v>-99391</v>
      </c>
      <c r="AL70" s="18">
        <f aca="true" t="shared" si="33" ref="AL70:AL80">M70+R70+W70+AB70+AG70</f>
        <v>0</v>
      </c>
    </row>
    <row r="71" spans="1:38" ht="12.75">
      <c r="A71" s="100"/>
      <c r="B71" s="81" t="s">
        <v>25</v>
      </c>
      <c r="C71" s="77"/>
      <c r="D71" s="78"/>
      <c r="E71" s="134">
        <f aca="true" t="shared" si="34" ref="E71:J71">SUM(E67:E70)</f>
        <v>241</v>
      </c>
      <c r="F71" s="134">
        <f t="shared" si="34"/>
        <v>241</v>
      </c>
      <c r="G71" s="134">
        <f t="shared" si="34"/>
        <v>0</v>
      </c>
      <c r="H71" s="134">
        <f t="shared" si="34"/>
        <v>0</v>
      </c>
      <c r="I71" s="134">
        <f t="shared" si="34"/>
        <v>0</v>
      </c>
      <c r="J71" s="134">
        <f t="shared" si="34"/>
        <v>0</v>
      </c>
      <c r="K71" s="91"/>
      <c r="L71" s="135" t="str">
        <f t="shared" si="24"/>
        <v>mar</v>
      </c>
      <c r="M71" s="140">
        <f>IF(O64=4,O70*N67/100,IF(AND(O62=2,OR(L71="mar",L71="jun",L71="sep",L71="dec")),O70*N67/100,IF(AND(O63=3,OR(L71="jun",L71="dec")),O70*N67/100,IF(AND(O61=1,OR(L71="jan",L71="apr",L71="jul",L71="okt")),O70*N67/100,"0"))))</f>
        <v>3545.4574</v>
      </c>
      <c r="N71" s="140">
        <f>IF(M71="0","0",N66-M71)</f>
        <v>6354.542600000001</v>
      </c>
      <c r="O71" s="141">
        <f t="shared" si="25"/>
        <v>192828.4574</v>
      </c>
      <c r="P71" s="91"/>
      <c r="Q71" s="65" t="str">
        <f t="shared" si="26"/>
        <v>mar</v>
      </c>
      <c r="R71" s="153">
        <f>IF(T64=4,T70*S67/100,IF(AND(T62=2,OR(Q71="mar",Q71="jun",Q71="sep",Q71="dec")),T70*S67/100,IF(AND(T63=3,OR(Q71="jun",Q71="dec")),T70*S67/100,IF(AND(T61=1,OR(Q71="jan",Q71="apr",Q71="jul",Q71="okt")),T70*S67/100,"0"))))</f>
        <v>0</v>
      </c>
      <c r="S71" s="153">
        <f>IF(R71="0","0",S66-R71)</f>
        <v>0</v>
      </c>
      <c r="T71" s="74">
        <f t="shared" si="27"/>
        <v>0</v>
      </c>
      <c r="U71" s="101"/>
      <c r="V71" s="135" t="str">
        <f t="shared" si="28"/>
        <v>mar</v>
      </c>
      <c r="W71" s="140">
        <f>IF(Y64=4,Y70*X67/100,IF(AND(Y62=2,OR(V71="mar",V71="jun",V71="sep",V71="dec")),Y70*X67/100,IF(AND(Y63=3,OR(V71="jun",V71="dec")),Y70*X67/100,IF(AND(Y61=1,OR(V71="jan",V71="apr",V71="jul",V71="okt")),Y70*X67/100,"0"))))</f>
        <v>0</v>
      </c>
      <c r="X71" s="140">
        <f>IF(W71="0","0",X66-W71)</f>
        <v>0</v>
      </c>
      <c r="Y71" s="141">
        <f t="shared" si="29"/>
        <v>0</v>
      </c>
      <c r="Z71" s="146"/>
      <c r="AA71" s="135" t="str">
        <f t="shared" si="30"/>
        <v>mar</v>
      </c>
      <c r="AB71" s="140">
        <f>IF(AD64=4,AD70*AC67/100,IF(AND(AD62=2,OR(AA71="mar",AA71="jun",AA71="sep",AA71="dec")),AD70*AC67/100,IF(AND(AD63=3,OR(AA71="jun",AA71="dec")),AD70*AC67/100,IF(AND(AD61=1,OR(AA71="jan",AA71="apr",AA71="jul",AA71="okt")),AD70*AC67/100,"0"))))</f>
        <v>0</v>
      </c>
      <c r="AC71" s="140">
        <f>IF(AB71="0","0",AC66-AB71)</f>
        <v>0</v>
      </c>
      <c r="AD71" s="141">
        <f t="shared" si="31"/>
        <v>0</v>
      </c>
      <c r="AE71" s="126"/>
      <c r="AF71" s="135" t="str">
        <f t="shared" si="32"/>
        <v>mar</v>
      </c>
      <c r="AG71" s="21"/>
      <c r="AH71" s="21"/>
      <c r="AI71" s="140">
        <f>IF(AI63=AF71,AH65-AH71+AI64,AI70-AH71)</f>
        <v>-99391</v>
      </c>
      <c r="AL71" s="18">
        <f t="shared" si="33"/>
        <v>3545.4574</v>
      </c>
    </row>
    <row r="72" spans="1:38" ht="12.75">
      <c r="A72" s="100"/>
      <c r="B72" s="101"/>
      <c r="C72" s="101"/>
      <c r="D72" s="101"/>
      <c r="E72" s="126"/>
      <c r="F72" s="126"/>
      <c r="G72" s="126"/>
      <c r="H72" s="126"/>
      <c r="I72" s="126"/>
      <c r="J72" s="126"/>
      <c r="K72" s="91"/>
      <c r="L72" s="135" t="str">
        <f t="shared" si="24"/>
        <v>apr</v>
      </c>
      <c r="M72" s="140" t="str">
        <f>IF(O64=4,O71*N67/100,IF(AND(O62=2,OR(L72="mar",L72="jun",L72="sep",L72="dec")),O71*N67/100,IF(AND(O63=3,OR(L72="jun",L72="dec")),O71*N67/100,IF(AND(O61=1,OR(L72="jan",L72="apr",L72="jul",L72="okt")),O71*N67/100,"0"))))</f>
        <v>0</v>
      </c>
      <c r="N72" s="140" t="str">
        <f>IF(M72="0","0",N66-M72)</f>
        <v>0</v>
      </c>
      <c r="O72" s="141">
        <f t="shared" si="25"/>
        <v>192828.4574</v>
      </c>
      <c r="P72" s="91"/>
      <c r="Q72" s="65" t="str">
        <f t="shared" si="26"/>
        <v>apr</v>
      </c>
      <c r="R72" s="153" t="str">
        <f>IF(T64=4,T71*S67/100,IF(AND(T62=2,OR(Q72="mar",Q72="jun",Q72="sep",Q72="dec")),T71*S67/100,IF(AND(T63=3,OR(Q72="jun",Q72="dec")),T71*S67/100,IF(AND(T61=1,OR(Q72="jan",Q72="apr",Q72="jul",Q72="okt")),T71*S67/100,"0"))))</f>
        <v>0</v>
      </c>
      <c r="S72" s="153" t="str">
        <f>IF(R72="0","0",S66-R72)</f>
        <v>0</v>
      </c>
      <c r="T72" s="74">
        <f t="shared" si="27"/>
        <v>0</v>
      </c>
      <c r="U72" s="100"/>
      <c r="V72" s="135" t="str">
        <f t="shared" si="28"/>
        <v>apr</v>
      </c>
      <c r="W72" s="140">
        <f>IF(Y64=4,Y71*X67/100,IF(AND(Y62=2,OR(V72="mar",V72="jun",V72="sep",V72="dec")),Y71*X67/100,IF(AND(Y63=3,OR(V72="jun",V72="dec")),Y71*X67/100,IF(AND(Y61=1,OR(V72="jan",V72="apr",V72="jul",V72="okt")),Y71*X67/100,"0"))))</f>
        <v>0</v>
      </c>
      <c r="X72" s="140">
        <f>IF(W72="0","0",X66-W72)</f>
        <v>0</v>
      </c>
      <c r="Y72" s="141">
        <f t="shared" si="29"/>
        <v>0</v>
      </c>
      <c r="Z72" s="146"/>
      <c r="AA72" s="135" t="str">
        <f t="shared" si="30"/>
        <v>apr</v>
      </c>
      <c r="AB72" s="140">
        <f>IF(AD64=4,AD71*AC67/100,IF(AND(AD62=2,OR(AA72="mar",AA72="jun",AA72="sep",AA72="dec")),AD71*AC67/100,IF(AND(AD63=3,OR(AA72="jun",AA72="dec")),AD71*AC67/100,IF(AND(AD61=1,OR(AA72="jan",AA72="apr",AA72="jul",AA72="okt")),AD71*AC67/100,"0"))))</f>
        <v>0</v>
      </c>
      <c r="AC72" s="140">
        <f>IF(AB72="0","0",AC66-AB72)</f>
        <v>0</v>
      </c>
      <c r="AD72" s="141">
        <f t="shared" si="31"/>
        <v>0</v>
      </c>
      <c r="AE72" s="126"/>
      <c r="AF72" s="135" t="str">
        <f t="shared" si="32"/>
        <v>apr</v>
      </c>
      <c r="AG72" s="21"/>
      <c r="AH72" s="21"/>
      <c r="AI72" s="140">
        <f>IF(AI63=AF72,AH65-AH72+AI64,AI71-AH72)</f>
        <v>-99391</v>
      </c>
      <c r="AL72" s="18">
        <f t="shared" si="33"/>
        <v>0</v>
      </c>
    </row>
    <row r="73" spans="1:38" ht="12.75">
      <c r="A73" s="136">
        <v>4</v>
      </c>
      <c r="B73" s="101"/>
      <c r="C73" s="101"/>
      <c r="D73" s="101"/>
      <c r="E73" s="126"/>
      <c r="F73" s="126"/>
      <c r="G73" s="126"/>
      <c r="H73" s="126"/>
      <c r="I73" s="126"/>
      <c r="J73" s="126"/>
      <c r="K73" s="91"/>
      <c r="L73" s="135" t="str">
        <f t="shared" si="24"/>
        <v>maj</v>
      </c>
      <c r="M73" s="140" t="str">
        <f>IF(O64=4,O72*N67/100,IF(AND(O62=2,OR(L73="mar",L73="jun",L73="sep",L73="dec")),O72*N67/100,IF(AND(O63=3,OR(L73="jun",L73="dec")),O72*N67/100,IF(AND(O61=1,OR(L73="jan",L73="apr",L73="jul",L73="okt")),O72*N67/100,"0"))))</f>
        <v>0</v>
      </c>
      <c r="N73" s="140" t="str">
        <f>IF(M73="0","0",N66-M73)</f>
        <v>0</v>
      </c>
      <c r="O73" s="141">
        <f t="shared" si="25"/>
        <v>192828.4574</v>
      </c>
      <c r="P73" s="91"/>
      <c r="Q73" s="65" t="str">
        <f t="shared" si="26"/>
        <v>maj</v>
      </c>
      <c r="R73" s="153" t="str">
        <f>IF(T64=4,T72*S67/100,IF(AND(T62=2,OR(Q73="mar",Q73="jun",Q73="sep",Q73="dec")),T72*S67/100,IF(AND(T63=3,OR(Q73="jun",Q73="dec")),T72*S67/100,IF(AND(T61=1,OR(Q73="jan",Q73="apr",Q73="jul",Q73="okt")),T72*S67/100,"0"))))</f>
        <v>0</v>
      </c>
      <c r="S73" s="153" t="str">
        <f>IF(R73="0","0",S66-R73)</f>
        <v>0</v>
      </c>
      <c r="T73" s="74">
        <f t="shared" si="27"/>
        <v>0</v>
      </c>
      <c r="U73" s="146"/>
      <c r="V73" s="135" t="str">
        <f t="shared" si="28"/>
        <v>maj</v>
      </c>
      <c r="W73" s="140">
        <f>IF(Y64=4,Y72*X67/100,IF(AND(Y62=2,OR(V73="mar",V73="jun",V73="sep",V73="dec")),Y72*X67/100,IF(AND(Y63=3,OR(V73="jun",V73="dec")),Y72*X67/100,IF(AND(Y61=1,OR(V73="jan",V73="apr",V73="jul",V73="okt")),Y72*X67/100,"0"))))</f>
        <v>0</v>
      </c>
      <c r="X73" s="140">
        <f>IF(W73="0","0",X66-W73)</f>
        <v>0</v>
      </c>
      <c r="Y73" s="141">
        <f t="shared" si="29"/>
        <v>0</v>
      </c>
      <c r="Z73" s="146"/>
      <c r="AA73" s="135" t="str">
        <f t="shared" si="30"/>
        <v>maj</v>
      </c>
      <c r="AB73" s="140">
        <f>IF(AD64=4,AD72*AC67/100,IF(AND(AD62=2,OR(AA73="mar",AA73="jun",AA73="sep",AA73="dec")),AD72*AC67/100,IF(AND(AD63=3,OR(AA73="jun",AA73="dec")),AD72*AC67/100,IF(AND(AD61=1,OR(AA73="jan",AA73="apr",AA73="jul",AA73="okt")),AD72*AC67/100,"0"))))</f>
        <v>0</v>
      </c>
      <c r="AC73" s="140">
        <f>IF(AB73="0","0",AC66-AB73)</f>
        <v>0</v>
      </c>
      <c r="AD73" s="141">
        <f t="shared" si="31"/>
        <v>0</v>
      </c>
      <c r="AE73" s="126"/>
      <c r="AF73" s="135" t="str">
        <f t="shared" si="32"/>
        <v>maj</v>
      </c>
      <c r="AG73" s="21"/>
      <c r="AH73" s="21"/>
      <c r="AI73" s="140">
        <f>IF(AI63=AF73,AH65-AH73+AI64,AI72-AH73)</f>
        <v>-99391</v>
      </c>
      <c r="AL73" s="18">
        <f t="shared" si="33"/>
        <v>0</v>
      </c>
    </row>
    <row r="74" spans="1:38" ht="12.75">
      <c r="A74" s="100"/>
      <c r="B74" s="106" t="s">
        <v>197</v>
      </c>
      <c r="C74" s="107"/>
      <c r="D74" s="107"/>
      <c r="E74" s="360" t="str">
        <f>E21</f>
        <v>Budget</v>
      </c>
      <c r="F74" s="359" t="str">
        <f>F22</f>
        <v>Beregning af købspris for smågrise</v>
      </c>
      <c r="G74" s="359">
        <f>G22</f>
        <v>0</v>
      </c>
      <c r="H74" s="359">
        <f>H22</f>
        <v>0</v>
      </c>
      <c r="I74" s="359">
        <f>I22</f>
        <v>0</v>
      </c>
      <c r="J74" s="359">
        <f>J22</f>
        <v>0</v>
      </c>
      <c r="K74" s="91"/>
      <c r="L74" s="135" t="str">
        <f t="shared" si="24"/>
        <v>jun</v>
      </c>
      <c r="M74" s="140">
        <f>IF(O64=4,O73*N67/100,IF(AND(O62=2,OR(L74="mar",L74="jun",L74="sep",L74="dec")),O73*N67/100,IF(AND(O63=3,OR(L74="jun",L74="dec")),O73*N67/100,IF(AND(O61=1,OR(L74="jan",L74="apr",L74="jul",L74="okt")),O73*N67/100,"0"))))</f>
        <v>3432.34654172</v>
      </c>
      <c r="N74" s="140">
        <f>IF(M74="0","0",N66-M74)</f>
        <v>6467.6534582799995</v>
      </c>
      <c r="O74" s="141">
        <f t="shared" si="25"/>
        <v>186360.80394172002</v>
      </c>
      <c r="P74" s="91"/>
      <c r="Q74" s="65" t="str">
        <f t="shared" si="26"/>
        <v>jun</v>
      </c>
      <c r="R74" s="153">
        <f>IF(T64=4,T73*S67/100,IF(AND(T62=2,OR(Q74="mar",Q74="jun",Q74="sep",Q74="dec")),T73*S67/100,IF(AND(T63=3,OR(Q74="jun",Q74="dec")),T73*S67/100,IF(AND(T61=1,OR(Q74="jan",Q74="apr",Q74="jul",Q74="okt")),T73*S67/100,"0"))))</f>
        <v>0</v>
      </c>
      <c r="S74" s="153">
        <f>IF(R74="0","0",S66-R74)</f>
        <v>0</v>
      </c>
      <c r="T74" s="74">
        <f t="shared" si="27"/>
        <v>0</v>
      </c>
      <c r="U74" s="146"/>
      <c r="V74" s="135" t="str">
        <f t="shared" si="28"/>
        <v>jun</v>
      </c>
      <c r="W74" s="140">
        <f>IF(Y64=4,Y73*X67/100,IF(AND(Y62=2,OR(V74="mar",V74="jun",V74="sep",V74="dec")),Y73*X67/100,IF(AND(Y63=3,OR(V74="jun",V74="dec")),Y73*X67/100,IF(AND(Y61=1,OR(V74="jan",V74="apr",V74="jul",V74="okt")),Y73*X67/100,"0"))))</f>
        <v>0</v>
      </c>
      <c r="X74" s="140">
        <f>IF(W74="0","0",X66-W74)</f>
        <v>0</v>
      </c>
      <c r="Y74" s="141">
        <f t="shared" si="29"/>
        <v>0</v>
      </c>
      <c r="Z74" s="146"/>
      <c r="AA74" s="135" t="str">
        <f t="shared" si="30"/>
        <v>jun</v>
      </c>
      <c r="AB74" s="140">
        <f>IF(AD64=4,AD73*AC67/100,IF(AND(AD62=2,OR(AA74="mar",AA74="jun",AA74="sep",AA74="dec")),AD73*AC67/100,IF(AND(AD63=3,OR(AA74="jun",AA74="dec")),AD73*AC67/100,IF(AND(AD61=1,OR(AA74="jan",AA74="apr",AA74="jul",AA74="okt")),AD73*AC67/100,"0"))))</f>
        <v>0</v>
      </c>
      <c r="AC74" s="140">
        <f>IF(AB74="0","0",AC66-AB74)</f>
        <v>0</v>
      </c>
      <c r="AD74" s="141">
        <f t="shared" si="31"/>
        <v>0</v>
      </c>
      <c r="AE74" s="126"/>
      <c r="AF74" s="135" t="str">
        <f t="shared" si="32"/>
        <v>jun</v>
      </c>
      <c r="AG74" s="21"/>
      <c r="AH74" s="21"/>
      <c r="AI74" s="140">
        <f>IF(AI63=AF74,AI73-AH74+AI64,AI73-AH74)</f>
        <v>-99391</v>
      </c>
      <c r="AL74" s="18">
        <f t="shared" si="33"/>
        <v>3432.34654172</v>
      </c>
    </row>
    <row r="75" spans="1:38" ht="12.75">
      <c r="A75" s="100"/>
      <c r="B75" s="76" t="s">
        <v>26</v>
      </c>
      <c r="C75" s="77"/>
      <c r="D75" s="78"/>
      <c r="E75" s="12"/>
      <c r="F75" s="315">
        <v>7</v>
      </c>
      <c r="G75" s="315"/>
      <c r="H75" s="315"/>
      <c r="I75" s="315"/>
      <c r="J75" s="315"/>
      <c r="K75" s="91"/>
      <c r="L75" s="135" t="str">
        <f t="shared" si="24"/>
        <v>jul</v>
      </c>
      <c r="M75" s="140" t="str">
        <f>IF(O64=4,O74*N67/100,IF(AND(O62=2,OR(L75="mar",L75="jun",L75="sep",L75="dec")),O74*N67/100,IF(AND(O63=3,OR(L75="jun",L75="dec")),O74*N67/100,IF(AND(O61=1,OR(L75="jan",L75="apr",L75="jul",L75="okt")),O74*N67/100,"0"))))</f>
        <v>0</v>
      </c>
      <c r="N75" s="140" t="str">
        <f>IF(M75="0","0",N66-M75)</f>
        <v>0</v>
      </c>
      <c r="O75" s="141">
        <f t="shared" si="25"/>
        <v>186360.80394172002</v>
      </c>
      <c r="P75" s="91"/>
      <c r="Q75" s="65" t="str">
        <f t="shared" si="26"/>
        <v>jul</v>
      </c>
      <c r="R75" s="153" t="str">
        <f>IF(T64=4,T74*S67/100,IF(AND(T62=2,OR(Q75="mar",Q75="jun",Q75="sep",Q75="dec")),T74*S67/100,IF(AND(T63=3,OR(Q75="jun",Q75="dec")),T74*S67/100,IF(AND(T61=1,OR(Q75="jan",Q75="apr",Q75="jul",Q75="okt")),T74*S67/100,"0"))))</f>
        <v>0</v>
      </c>
      <c r="S75" s="153" t="str">
        <f>IF(R75="0","0",S66-R75)</f>
        <v>0</v>
      </c>
      <c r="T75" s="74">
        <f t="shared" si="27"/>
        <v>0</v>
      </c>
      <c r="U75" s="146"/>
      <c r="V75" s="135" t="str">
        <f t="shared" si="28"/>
        <v>jul</v>
      </c>
      <c r="W75" s="140">
        <f>IF(Y64=4,Y74*X67/100,IF(AND(Y62=2,OR(V75="mar",V75="jun",V75="sep",V75="dec")),Y74*X67/100,IF(AND(Y63=3,OR(V75="jun",V75="dec")),Y74*X67/100,IF(AND(Y61=1,OR(V75="jan",V75="apr",V75="jul",V75="okt")),Y74*X67/100,"0"))))</f>
        <v>0</v>
      </c>
      <c r="X75" s="140">
        <f>IF(W75="0","0",X66-W75)</f>
        <v>0</v>
      </c>
      <c r="Y75" s="141">
        <f t="shared" si="29"/>
        <v>0</v>
      </c>
      <c r="Z75" s="146"/>
      <c r="AA75" s="135" t="str">
        <f t="shared" si="30"/>
        <v>jul</v>
      </c>
      <c r="AB75" s="140">
        <f>IF(AD64=4,AD74*AC67/100,IF(AND(AD62=2,OR(AA75="mar",AA75="jun",AA75="sep",AA75="dec")),AD74*AC67/100,IF(AND(AD63=3,OR(AA75="jun",AA75="dec")),AD74*AC67/100,IF(AND(AD61=1,OR(AA75="jan",AA75="apr",AA75="jul",AA75="okt")),AD74*AC67/100,"0"))))</f>
        <v>0</v>
      </c>
      <c r="AC75" s="140">
        <f>IF(AB75="0","0",AC66-AB75)</f>
        <v>0</v>
      </c>
      <c r="AD75" s="141">
        <f t="shared" si="31"/>
        <v>0</v>
      </c>
      <c r="AE75" s="126"/>
      <c r="AF75" s="135" t="str">
        <f t="shared" si="32"/>
        <v>jul</v>
      </c>
      <c r="AG75" s="21"/>
      <c r="AH75" s="21"/>
      <c r="AI75" s="140">
        <f>IF(AI63=AF75,AI74-AH75+AI64,AI74-AH75)</f>
        <v>-99391</v>
      </c>
      <c r="AL75" s="18">
        <f t="shared" si="33"/>
        <v>0</v>
      </c>
    </row>
    <row r="76" spans="1:38" ht="12.75">
      <c r="A76" s="100"/>
      <c r="B76" s="76" t="s">
        <v>27</v>
      </c>
      <c r="C76" s="77"/>
      <c r="D76" s="78"/>
      <c r="E76" s="12">
        <v>0</v>
      </c>
      <c r="F76" s="315"/>
      <c r="G76" s="315"/>
      <c r="H76" s="315"/>
      <c r="I76" s="315"/>
      <c r="J76" s="315"/>
      <c r="K76" s="91"/>
      <c r="L76" s="135" t="str">
        <f t="shared" si="24"/>
        <v>aug</v>
      </c>
      <c r="M76" s="140" t="str">
        <f>IF(O64=4,O75*N67/100,IF(AND(O62=2,OR(L76="mar",L76="jun",L76="sep",L76="dec")),O75*N67/100,IF(AND(O63=3,OR(L76="jun",L76="dec")),O75*N67/100,IF(AND(O61=1,OR(L76="jan",L76="apr",L76="jul",L76="okt")),O75*N67/100,"0"))))</f>
        <v>0</v>
      </c>
      <c r="N76" s="140" t="str">
        <f>IF(M76="0","0",N66-M76)</f>
        <v>0</v>
      </c>
      <c r="O76" s="141">
        <f t="shared" si="25"/>
        <v>186360.80394172002</v>
      </c>
      <c r="P76" s="91"/>
      <c r="Q76" s="65" t="str">
        <f t="shared" si="26"/>
        <v>aug</v>
      </c>
      <c r="R76" s="153" t="str">
        <f>IF(T64=4,T75*S67/100,IF(AND(T62=2,OR(Q76="mar",Q76="jun",Q76="sep",Q76="dec")),T75*S67/100,IF(AND(T63=3,OR(Q76="jun",Q76="dec")),T75*S67/100,IF(AND(T61=1,OR(Q76="jan",Q76="apr",Q76="jul",Q76="okt")),T75*S67/100,"0"))))</f>
        <v>0</v>
      </c>
      <c r="S76" s="153" t="str">
        <f>IF(R76="0","0",S66-R76)</f>
        <v>0</v>
      </c>
      <c r="T76" s="74">
        <f t="shared" si="27"/>
        <v>0</v>
      </c>
      <c r="U76" s="146"/>
      <c r="V76" s="135" t="str">
        <f t="shared" si="28"/>
        <v>aug</v>
      </c>
      <c r="W76" s="140">
        <f>IF(Y64=4,Y75*X67/100,IF(AND(Y62=2,OR(V76="mar",V76="jun",V76="sep",V76="dec")),Y75*X67/100,IF(AND(Y63=3,OR(V76="jun",V76="dec")),Y75*X67/100,IF(AND(Y61=1,OR(V76="jan",V76="apr",V76="jul",V76="okt")),Y75*X67/100,"0"))))</f>
        <v>0</v>
      </c>
      <c r="X76" s="140">
        <f>IF(W76="0","0",X66-W76)</f>
        <v>0</v>
      </c>
      <c r="Y76" s="141">
        <f t="shared" si="29"/>
        <v>0</v>
      </c>
      <c r="Z76" s="146"/>
      <c r="AA76" s="135" t="str">
        <f t="shared" si="30"/>
        <v>aug</v>
      </c>
      <c r="AB76" s="140">
        <f>IF(AD64=4,AD75*AC67/100,IF(AND(AD62=2,OR(AA76="mar",AA76="jun",AA76="sep",AA76="dec")),AD75*AC67/100,IF(AND(AD63=3,OR(AA76="jun",AA76="dec")),AD75*AC67/100,IF(AND(AD61=1,OR(AA76="jan",AA76="apr",AA76="jul",AA76="okt")),AD75*AC67/100,"0"))))</f>
        <v>0</v>
      </c>
      <c r="AC76" s="140">
        <f>IF(AB76="0","0",AC66-AB76)</f>
        <v>0</v>
      </c>
      <c r="AD76" s="141">
        <f t="shared" si="31"/>
        <v>0</v>
      </c>
      <c r="AE76" s="126"/>
      <c r="AF76" s="135" t="str">
        <f t="shared" si="32"/>
        <v>aug</v>
      </c>
      <c r="AG76" s="21"/>
      <c r="AH76" s="21"/>
      <c r="AI76" s="140">
        <f>IF(AI63=AF76,AI75-AH76+AI64,AI75-AH76)</f>
        <v>-99391</v>
      </c>
      <c r="AL76" s="18">
        <f t="shared" si="33"/>
        <v>0</v>
      </c>
    </row>
    <row r="77" spans="1:38" ht="12.75">
      <c r="A77" s="100"/>
      <c r="B77" s="104" t="s">
        <v>28</v>
      </c>
      <c r="C77" s="77"/>
      <c r="D77" s="78"/>
      <c r="E77" s="13"/>
      <c r="F77" s="316"/>
      <c r="G77" s="316"/>
      <c r="H77" s="316"/>
      <c r="I77" s="316"/>
      <c r="J77" s="316"/>
      <c r="K77" s="91"/>
      <c r="L77" s="135" t="str">
        <f t="shared" si="24"/>
        <v>sep</v>
      </c>
      <c r="M77" s="140">
        <f>IF(O64=4,O76*N67/100,IF(AND(O62=2,OR(L77="mar",L77="jun",L77="sep",L77="dec")),O76*N67/100,IF(AND(O63=3,OR(L77="jun",L77="dec")),O76*N67/100,IF(AND(O61=1,OR(L77="jan",L77="apr",L77="jul",L77="okt")),O76*N67/100,"0"))))</f>
        <v>3317.2223101626164</v>
      </c>
      <c r="N77" s="140">
        <f>IF(M77="0","0",N66-M77)</f>
        <v>6582.777689837383</v>
      </c>
      <c r="O77" s="141">
        <f t="shared" si="25"/>
        <v>179778.02625188263</v>
      </c>
      <c r="P77" s="91"/>
      <c r="Q77" s="65" t="str">
        <f t="shared" si="26"/>
        <v>sep</v>
      </c>
      <c r="R77" s="153">
        <f>IF(T64=4,T76*S67/100,IF(AND(T62=2,OR(Q77="mar",Q77="jun",Q77="sep",Q77="dec")),T76*S67/100,IF(AND(T63=3,OR(Q77="jun",Q77="dec")),T76*S67/100,IF(AND(T61=1,OR(Q77="jan",Q77="apr",Q77="jul",Q77="okt")),T76*S67/100,"0"))))</f>
        <v>0</v>
      </c>
      <c r="S77" s="153">
        <f>IF(R77="0","0",S66-R77)</f>
        <v>0</v>
      </c>
      <c r="T77" s="74">
        <f t="shared" si="27"/>
        <v>0</v>
      </c>
      <c r="U77" s="146"/>
      <c r="V77" s="135" t="str">
        <f t="shared" si="28"/>
        <v>sep</v>
      </c>
      <c r="W77" s="140">
        <f>IF(Y64=4,Y76*X67/100,IF(AND(Y62=2,OR(V77="mar",V77="jun",V77="sep",V77="dec")),Y76*X67/100,IF(AND(Y63=3,OR(V77="jun",V77="dec")),Y76*X67/100,IF(AND(Y61=1,OR(V77="jan",V77="apr",V77="jul",V77="okt")),Y76*X67/100,"0"))))</f>
        <v>0</v>
      </c>
      <c r="X77" s="140">
        <f>IF(W77="0","0",X66-W77)</f>
        <v>0</v>
      </c>
      <c r="Y77" s="141">
        <f t="shared" si="29"/>
        <v>0</v>
      </c>
      <c r="Z77" s="146"/>
      <c r="AA77" s="135" t="str">
        <f t="shared" si="30"/>
        <v>sep</v>
      </c>
      <c r="AB77" s="140">
        <f>IF(AD64=4,AD76*AC67/100,IF(AND(AD62=2,OR(AA77="mar",AA77="jun",AA77="sep",AA77="dec")),AD76*AC67/100,IF(AND(AD63=3,OR(AA77="jun",AA77="dec")),AD76*AC67/100,IF(AND(AD61=1,OR(AA77="jan",AA77="apr",AA77="jul",AA77="okt")),AD76*AC67/100,"0"))))</f>
        <v>0</v>
      </c>
      <c r="AC77" s="140">
        <f>IF(AB77="0","0",AC66-AB77)</f>
        <v>0</v>
      </c>
      <c r="AD77" s="141">
        <f t="shared" si="31"/>
        <v>0</v>
      </c>
      <c r="AE77" s="126"/>
      <c r="AF77" s="135" t="str">
        <f t="shared" si="32"/>
        <v>sep</v>
      </c>
      <c r="AG77" s="21"/>
      <c r="AH77" s="21"/>
      <c r="AI77" s="140">
        <f>IF(AI63=AF77,AI76-AH77+AI64,AI76-AH77)</f>
        <v>-99391</v>
      </c>
      <c r="AL77" s="18">
        <f t="shared" si="33"/>
        <v>3317.2223101626164</v>
      </c>
    </row>
    <row r="78" spans="1:38" ht="12.75">
      <c r="A78" s="100"/>
      <c r="B78" s="104" t="s">
        <v>29</v>
      </c>
      <c r="C78" s="77"/>
      <c r="D78" s="78"/>
      <c r="E78" s="13"/>
      <c r="F78" s="316"/>
      <c r="G78" s="316"/>
      <c r="H78" s="316"/>
      <c r="I78" s="316"/>
      <c r="J78" s="316"/>
      <c r="K78" s="91"/>
      <c r="L78" s="135" t="str">
        <f t="shared" si="24"/>
        <v>okt</v>
      </c>
      <c r="M78" s="140" t="str">
        <f>IF(O64=4,O77*N67/100,IF(AND(O62=2,OR(L78="mar",L78="jun",L78="sep",L78="dec")),O77*N67/100,IF(AND(O63=3,OR(L78="jun",L78="dec")),O77*N67/100,IF(AND(O61=1,OR(L78="jan",L78="apr",L78="jul",L78="okt")),O77*N67/100,"0"))))</f>
        <v>0</v>
      </c>
      <c r="N78" s="140" t="str">
        <f>IF(M78="0","0",N66-M78)</f>
        <v>0</v>
      </c>
      <c r="O78" s="141">
        <f t="shared" si="25"/>
        <v>179778.02625188263</v>
      </c>
      <c r="P78" s="91"/>
      <c r="Q78" s="65" t="str">
        <f t="shared" si="26"/>
        <v>okt</v>
      </c>
      <c r="R78" s="153" t="str">
        <f>IF(T64=4,T77*S67/100,IF(AND(T62=2,OR(Q78="mar",Q78="jun",Q78="sep",Q78="dec")),T77*S67/100,IF(AND(T63=3,OR(Q78="jun",Q78="dec")),T77*S67/100,IF(AND(T61=1,OR(Q78="jan",Q78="apr",Q78="jul",Q78="okt")),T77*S67/100,"0"))))</f>
        <v>0</v>
      </c>
      <c r="S78" s="153" t="str">
        <f>IF(R78="0","0",S66-R78)</f>
        <v>0</v>
      </c>
      <c r="T78" s="74">
        <f t="shared" si="27"/>
        <v>0</v>
      </c>
      <c r="U78" s="146"/>
      <c r="V78" s="135" t="str">
        <f t="shared" si="28"/>
        <v>okt</v>
      </c>
      <c r="W78" s="140">
        <f>IF(Y64=4,Y77*X67/100,IF(AND(Y62=2,OR(V78="mar",V78="jun",V78="sep",V78="dec")),Y77*X67/100,IF(AND(Y63=3,OR(V78="jun",V78="dec")),Y77*X67/100,IF(AND(Y61=1,OR(V78="jan",V78="apr",V78="jul",V78="okt")),Y77*X67/100,"0"))))</f>
        <v>0</v>
      </c>
      <c r="X78" s="140">
        <f>IF(W78="0","0",X66-W78)</f>
        <v>0</v>
      </c>
      <c r="Y78" s="141">
        <f t="shared" si="29"/>
        <v>0</v>
      </c>
      <c r="Z78" s="146"/>
      <c r="AA78" s="135" t="str">
        <f t="shared" si="30"/>
        <v>okt</v>
      </c>
      <c r="AB78" s="140">
        <f>IF(AD64=4,AD77*AC67/100,IF(AND(AD62=2,OR(AA78="mar",AA78="jun",AA78="sep",AA78="dec")),AD77*AC67/100,IF(AND(AD63=3,OR(AA78="jun",AA78="dec")),AD77*AC67/100,IF(AND(AD61=1,OR(AA78="jan",AA78="apr",AA78="jul",AA78="okt")),AD77*AC67/100,"0"))))</f>
        <v>0</v>
      </c>
      <c r="AC78" s="140">
        <f>IF(AB78="0","0",AC66-AB78)</f>
        <v>0</v>
      </c>
      <c r="AD78" s="141">
        <f t="shared" si="31"/>
        <v>0</v>
      </c>
      <c r="AE78" s="126"/>
      <c r="AF78" s="135" t="str">
        <f t="shared" si="32"/>
        <v>okt</v>
      </c>
      <c r="AG78" s="21"/>
      <c r="AH78" s="21"/>
      <c r="AI78" s="140">
        <f>IF(AI63=AF78,AI77-AH78+AI64,AI77-AH78)</f>
        <v>-99391</v>
      </c>
      <c r="AK78" s="4"/>
      <c r="AL78" s="18">
        <f t="shared" si="33"/>
        <v>0</v>
      </c>
    </row>
    <row r="79" spans="1:38" ht="12.75">
      <c r="A79" s="100"/>
      <c r="B79" s="81" t="s">
        <v>16</v>
      </c>
      <c r="C79" s="77"/>
      <c r="D79" s="78"/>
      <c r="E79" s="164">
        <f aca="true" t="shared" si="35" ref="E79:J79">SUM(E75:E78)</f>
        <v>0</v>
      </c>
      <c r="F79" s="134">
        <f t="shared" si="35"/>
        <v>7</v>
      </c>
      <c r="G79" s="134">
        <f t="shared" si="35"/>
        <v>0</v>
      </c>
      <c r="H79" s="134">
        <f t="shared" si="35"/>
        <v>0</v>
      </c>
      <c r="I79" s="134">
        <f t="shared" si="35"/>
        <v>0</v>
      </c>
      <c r="J79" s="134">
        <f t="shared" si="35"/>
        <v>0</v>
      </c>
      <c r="K79" s="91"/>
      <c r="L79" s="135" t="str">
        <f t="shared" si="24"/>
        <v>nov</v>
      </c>
      <c r="M79" s="140" t="str">
        <f>IF(O64=4,O78*N67/100,IF(AND(O62=2,OR(L79="mar",L79="jun",L79="sep",L79="dec")),O78*N67/100,IF(AND(O63=3,OR(L79="jun",L79="dec")),O78*N67/100,IF(AND(O61=1,OR(L79="jan",L79="apr",L79="jul",L79="okt")),O78*N67/100,"0"))))</f>
        <v>0</v>
      </c>
      <c r="N79" s="140" t="str">
        <f>IF(M79="0","0",N66-M79)</f>
        <v>0</v>
      </c>
      <c r="O79" s="141">
        <f t="shared" si="25"/>
        <v>179778.02625188263</v>
      </c>
      <c r="P79" s="91"/>
      <c r="Q79" s="65" t="str">
        <f t="shared" si="26"/>
        <v>nov</v>
      </c>
      <c r="R79" s="153" t="str">
        <f>IF(T64=4,T78*S67/100,IF(AND(T62=2,OR(Q79="mar",Q79="jun",Q79="sep",Q79="dec")),T78*S67/100,IF(AND(T63=3,OR(Q79="jun",Q79="dec")),T78*S67/100,IF(AND(T61=1,OR(Q79="jan",Q79="apr",Q79="jul",Q79="okt")),T78*S67/100,"0"))))</f>
        <v>0</v>
      </c>
      <c r="S79" s="153" t="str">
        <f>IF(R79="0","0",S66-R79)</f>
        <v>0</v>
      </c>
      <c r="T79" s="74">
        <f t="shared" si="27"/>
        <v>0</v>
      </c>
      <c r="U79" s="146"/>
      <c r="V79" s="135" t="str">
        <f t="shared" si="28"/>
        <v>nov</v>
      </c>
      <c r="W79" s="140">
        <f>IF(Y64=4,Y78*X67/100,IF(AND(Y62=2,OR(V79="mar",V79="jun",V79="sep",V79="dec")),Y78*X67/100,IF(AND(Y63=3,OR(V79="jun",V79="dec")),Y78*X67/100,IF(AND(Y61=1,OR(V79="jan",V79="apr",V79="jul",V79="okt")),Y78*X67/100,"0"))))</f>
        <v>0</v>
      </c>
      <c r="X79" s="140">
        <f>IF(W79="0","0",X66-W79)</f>
        <v>0</v>
      </c>
      <c r="Y79" s="141">
        <f t="shared" si="29"/>
        <v>0</v>
      </c>
      <c r="Z79" s="146"/>
      <c r="AA79" s="135" t="str">
        <f t="shared" si="30"/>
        <v>nov</v>
      </c>
      <c r="AB79" s="140">
        <f>IF(AD64=4,AD78*AC67/100,IF(AND(AD62=2,OR(AA79="mar",AA79="jun",AA79="sep",AA79="dec")),AD78*AC67/100,IF(AND(AD63=3,OR(AA79="jun",AA79="dec")),AD78*AC67/100,IF(AND(AD61=1,OR(AA79="jan",AA79="apr",AA79="jul",AA79="okt")),AD78*AC67/100,"0"))))</f>
        <v>0</v>
      </c>
      <c r="AC79" s="140">
        <f>IF(AB79="0","0",AC66-AB79)</f>
        <v>0</v>
      </c>
      <c r="AD79" s="141">
        <f t="shared" si="31"/>
        <v>0</v>
      </c>
      <c r="AE79" s="126"/>
      <c r="AF79" s="135" t="str">
        <f t="shared" si="32"/>
        <v>nov</v>
      </c>
      <c r="AG79" s="21"/>
      <c r="AH79" s="21"/>
      <c r="AI79" s="140">
        <f>IF(AI63=AF79,AI78-AH79+AI64,AI78-AH79)</f>
        <v>-99391</v>
      </c>
      <c r="AL79" s="18">
        <f t="shared" si="33"/>
        <v>0</v>
      </c>
    </row>
    <row r="80" spans="1:38" ht="12.75">
      <c r="A80" s="100">
        <v>5</v>
      </c>
      <c r="B80" s="101"/>
      <c r="C80" s="101"/>
      <c r="D80" s="101"/>
      <c r="E80" s="126"/>
      <c r="F80" s="126"/>
      <c r="G80" s="126"/>
      <c r="H80" s="126"/>
      <c r="I80" s="126"/>
      <c r="J80" s="126"/>
      <c r="K80" s="91"/>
      <c r="L80" s="135" t="str">
        <f t="shared" si="24"/>
        <v>dec</v>
      </c>
      <c r="M80" s="140">
        <f>IF(O64=4,O79*N67/100,IF(AND(O62=2,OR(L80="mar",L80="jun",L80="sep",L80="dec")),O79*N67/100,IF(AND(O63=3,OR(L80="jun",L80="dec")),O79*N67/100,IF(AND(O61=1,OR(L80="jan",L80="apr",L80="jul",L80="okt")),O79*N67/100,"0"))))</f>
        <v>3200.0488672835113</v>
      </c>
      <c r="N80" s="140">
        <f>IF(M80="0","0",N66-M80)</f>
        <v>6699.951132716489</v>
      </c>
      <c r="O80" s="141">
        <f t="shared" si="25"/>
        <v>173078.07511916614</v>
      </c>
      <c r="P80" s="91"/>
      <c r="Q80" s="65" t="str">
        <f t="shared" si="26"/>
        <v>dec</v>
      </c>
      <c r="R80" s="153">
        <f>IF(T64=4,T79*S67/100,IF(AND(T62=2,OR(Q80="mar",Q80="jun",Q80="sep",Q80="dec")),T79*S67/100,IF(AND(T63=3,OR(Q80="jun",Q80="dec")),T79*S67/100,IF(AND(T61=1,OR(Q80="jan",Q80="apr",Q80="jul",Q80="okt")),T79*S67/100,"0"))))</f>
        <v>0</v>
      </c>
      <c r="S80" s="153">
        <f>IF(R80="0","0",S66-R80)</f>
        <v>0</v>
      </c>
      <c r="T80" s="74">
        <f t="shared" si="27"/>
        <v>0</v>
      </c>
      <c r="U80" s="146"/>
      <c r="V80" s="135" t="str">
        <f t="shared" si="28"/>
        <v>dec</v>
      </c>
      <c r="W80" s="140">
        <f>IF(Y64=4,Y79*X67/100,IF(AND(Y62=2,OR(V80="mar",V80="jun",V80="sep",V80="dec")),Y79*X67/100,IF(AND(Y63=3,OR(V80="jun",V80="dec")),Y79*X67/100,IF(AND(Y61=1,OR(V80="jan",V80="apr",V80="jul",V80="okt")),Y79*X67/100,"0"))))</f>
        <v>0</v>
      </c>
      <c r="X80" s="140">
        <f>IF(W80="0","0",X66-W80)</f>
        <v>0</v>
      </c>
      <c r="Y80" s="141">
        <f t="shared" si="29"/>
        <v>0</v>
      </c>
      <c r="Z80" s="146"/>
      <c r="AA80" s="135" t="str">
        <f t="shared" si="30"/>
        <v>dec</v>
      </c>
      <c r="AB80" s="140">
        <f>IF(AD64=4,AD79*AC67/100,IF(AND(AD62=2,OR(AA80="mar",AA80="jun",AA80="sep",AA80="dec")),AD79*AC67/100,IF(AND(AD63=3,OR(AA80="jun",AA80="dec")),AD79*AC67/100,IF(AND(AD61=1,OR(AA80="jan",AA80="apr",AA80="jul",AA80="okt")),AD79*AC67/100,"0"))))</f>
        <v>0</v>
      </c>
      <c r="AC80" s="140">
        <f>IF(AB80="0","0",AC66-AB80)</f>
        <v>0</v>
      </c>
      <c r="AD80" s="141">
        <f t="shared" si="31"/>
        <v>0</v>
      </c>
      <c r="AE80" s="126"/>
      <c r="AF80" s="135" t="str">
        <f t="shared" si="32"/>
        <v>dec</v>
      </c>
      <c r="AG80" s="21"/>
      <c r="AH80" s="21">
        <v>-7000</v>
      </c>
      <c r="AI80" s="140">
        <f>IF(AI63=AF80,AI79-AH80+AI64,AI79-AH80)</f>
        <v>-92391</v>
      </c>
      <c r="AL80" s="18">
        <f t="shared" si="33"/>
        <v>3200.0488672835113</v>
      </c>
    </row>
    <row r="81" spans="1:38" ht="12.75">
      <c r="A81" s="100"/>
      <c r="B81" s="47" t="s">
        <v>30</v>
      </c>
      <c r="C81" s="107"/>
      <c r="D81" s="59"/>
      <c r="E81" s="131"/>
      <c r="F81" s="132"/>
      <c r="G81" s="132"/>
      <c r="H81" s="132"/>
      <c r="I81" s="132"/>
      <c r="J81" s="133"/>
      <c r="K81" s="91"/>
      <c r="L81" s="73"/>
      <c r="M81" s="142">
        <f>SUM(M69:M80)</f>
        <v>13495.075119166127</v>
      </c>
      <c r="N81" s="142">
        <f>SUM(N69:N80)</f>
        <v>26104.924880833874</v>
      </c>
      <c r="O81" s="73"/>
      <c r="P81" s="91"/>
      <c r="Q81" s="73"/>
      <c r="R81" s="142">
        <f>SUM(R69:R80)</f>
        <v>0</v>
      </c>
      <c r="S81" s="142">
        <f>SUM(S69:S80)</f>
        <v>0</v>
      </c>
      <c r="T81" s="73"/>
      <c r="U81" s="146"/>
      <c r="V81" s="73"/>
      <c r="W81" s="142">
        <f>SUM(W69:W80)</f>
        <v>0</v>
      </c>
      <c r="X81" s="142">
        <f>SUM(X69:X80)</f>
        <v>0</v>
      </c>
      <c r="Y81" s="73"/>
      <c r="Z81" s="91"/>
      <c r="AA81" s="73"/>
      <c r="AB81" s="142">
        <f>SUM(AB69:AB80)</f>
        <v>0</v>
      </c>
      <c r="AC81" s="142">
        <f>SUM(AC69:AC80)</f>
        <v>0</v>
      </c>
      <c r="AD81" s="73"/>
      <c r="AE81" s="91"/>
      <c r="AF81" s="73"/>
      <c r="AG81" s="142">
        <f>SUM(AG69:AG80)</f>
        <v>0</v>
      </c>
      <c r="AH81" s="142">
        <f>SUM(AH69:AH80)</f>
        <v>-7000</v>
      </c>
      <c r="AI81" s="73"/>
      <c r="AL81" s="19"/>
    </row>
    <row r="82" spans="1:35" ht="12.75">
      <c r="A82" s="100"/>
      <c r="B82" s="73" t="s">
        <v>31</v>
      </c>
      <c r="C82" s="76"/>
      <c r="D82" s="78"/>
      <c r="E82" s="12"/>
      <c r="F82" s="315">
        <v>0</v>
      </c>
      <c r="G82" s="315"/>
      <c r="H82" s="315"/>
      <c r="I82" s="315"/>
      <c r="J82" s="315"/>
      <c r="K82" s="91"/>
      <c r="L82" s="91"/>
      <c r="M82" s="91"/>
      <c r="N82" s="91"/>
      <c r="O82" s="91"/>
      <c r="P82" s="91"/>
      <c r="Q82" s="91"/>
      <c r="R82" s="91"/>
      <c r="S82" s="91"/>
      <c r="T82" s="91"/>
      <c r="U82" s="146"/>
      <c r="V82" s="91"/>
      <c r="W82" s="91"/>
      <c r="X82" s="91"/>
      <c r="Y82" s="91"/>
      <c r="Z82" s="91"/>
      <c r="AA82" s="91"/>
      <c r="AB82" s="91"/>
      <c r="AC82" s="91"/>
      <c r="AD82" s="91"/>
      <c r="AE82" s="91"/>
      <c r="AF82" s="91"/>
      <c r="AG82" s="91"/>
      <c r="AH82" s="91"/>
      <c r="AI82" s="91"/>
    </row>
    <row r="83" spans="1:35" ht="12.75">
      <c r="A83" s="100"/>
      <c r="B83" s="82" t="s">
        <v>32</v>
      </c>
      <c r="C83" s="76"/>
      <c r="D83" s="78"/>
      <c r="E83" s="206">
        <f>(M57+R57+W57+AB57+AG57+AL57+AQ57+AV57+BA57+BF57)/1000</f>
        <v>320.1749672707978</v>
      </c>
      <c r="F83" s="316">
        <v>319</v>
      </c>
      <c r="G83" s="316"/>
      <c r="H83" s="316"/>
      <c r="I83" s="316"/>
      <c r="J83" s="316"/>
      <c r="K83" s="91"/>
      <c r="L83" s="91"/>
      <c r="M83" s="91"/>
      <c r="N83" s="91"/>
      <c r="O83" s="91"/>
      <c r="P83" s="91"/>
      <c r="Q83" s="91"/>
      <c r="R83" s="91"/>
      <c r="S83" s="91"/>
      <c r="T83" s="91"/>
      <c r="U83" s="146"/>
      <c r="V83" s="91"/>
      <c r="W83" s="91"/>
      <c r="X83" s="91"/>
      <c r="Y83" s="91"/>
      <c r="Z83" s="91"/>
      <c r="AA83" s="91"/>
      <c r="AB83" s="91"/>
      <c r="AC83" s="91"/>
      <c r="AD83" s="91"/>
      <c r="AE83" s="91"/>
      <c r="AF83" s="91"/>
      <c r="AG83" s="91"/>
      <c r="AH83" s="91"/>
      <c r="AI83" s="91"/>
    </row>
    <row r="84" spans="1:35" ht="12.75">
      <c r="A84" s="100"/>
      <c r="B84" s="82" t="s">
        <v>33</v>
      </c>
      <c r="C84" s="76"/>
      <c r="D84" s="78"/>
      <c r="E84" s="206">
        <f>(M81+R81+W81+AB81+AG81)/1000</f>
        <v>13.495075119166128</v>
      </c>
      <c r="F84" s="316">
        <v>26</v>
      </c>
      <c r="G84" s="316"/>
      <c r="H84" s="316"/>
      <c r="I84" s="316"/>
      <c r="J84" s="316"/>
      <c r="K84" s="91"/>
      <c r="L84" s="73"/>
      <c r="M84" s="76" t="s">
        <v>204</v>
      </c>
      <c r="N84" s="77"/>
      <c r="O84" s="78"/>
      <c r="P84" s="91"/>
      <c r="Q84" s="73"/>
      <c r="R84" s="76" t="s">
        <v>204</v>
      </c>
      <c r="S84" s="77"/>
      <c r="T84" s="78"/>
      <c r="U84" s="146"/>
      <c r="V84" s="73"/>
      <c r="W84" s="76" t="s">
        <v>204</v>
      </c>
      <c r="X84" s="77"/>
      <c r="Y84" s="78"/>
      <c r="Z84" s="101"/>
      <c r="AA84" s="73"/>
      <c r="AB84" s="76" t="s">
        <v>204</v>
      </c>
      <c r="AC84" s="77"/>
      <c r="AD84" s="78"/>
      <c r="AE84" s="211"/>
      <c r="AF84" s="73"/>
      <c r="AG84" s="76" t="s">
        <v>204</v>
      </c>
      <c r="AH84" s="77"/>
      <c r="AI84" s="78"/>
    </row>
    <row r="85" spans="1:35" ht="12.75">
      <c r="A85" s="100"/>
      <c r="B85" s="104" t="s">
        <v>194</v>
      </c>
      <c r="C85" s="77"/>
      <c r="D85" s="78"/>
      <c r="E85" s="368">
        <f>Årsbudget!H150</f>
        <v>0</v>
      </c>
      <c r="F85" s="316">
        <v>142</v>
      </c>
      <c r="G85" s="316"/>
      <c r="H85" s="316"/>
      <c r="I85" s="316"/>
      <c r="J85" s="316"/>
      <c r="K85" s="91"/>
      <c r="L85" s="73"/>
      <c r="M85" s="137" t="s">
        <v>184</v>
      </c>
      <c r="N85" s="127"/>
      <c r="O85" s="128"/>
      <c r="P85" s="144"/>
      <c r="Q85" s="68"/>
      <c r="R85" s="137" t="s">
        <v>185</v>
      </c>
      <c r="S85" s="103"/>
      <c r="T85" s="138"/>
      <c r="U85" s="91"/>
      <c r="V85" s="156"/>
      <c r="W85" s="137" t="s">
        <v>186</v>
      </c>
      <c r="X85" s="127"/>
      <c r="Y85" s="128"/>
      <c r="Z85" s="145"/>
      <c r="AA85" s="68"/>
      <c r="AB85" s="137" t="s">
        <v>188</v>
      </c>
      <c r="AC85" s="127"/>
      <c r="AD85" s="128"/>
      <c r="AE85" s="145"/>
      <c r="AF85" s="68"/>
      <c r="AG85" s="137" t="s">
        <v>285</v>
      </c>
      <c r="AH85" s="103"/>
      <c r="AI85" s="138"/>
    </row>
    <row r="86" spans="1:35" ht="12.75">
      <c r="A86" s="100"/>
      <c r="B86" s="104" t="s">
        <v>351</v>
      </c>
      <c r="C86" s="77"/>
      <c r="D86" s="78"/>
      <c r="E86" s="13">
        <v>0</v>
      </c>
      <c r="F86" s="316">
        <v>29</v>
      </c>
      <c r="G86" s="316"/>
      <c r="H86" s="316"/>
      <c r="I86" s="316"/>
      <c r="J86" s="316"/>
      <c r="K86" s="91"/>
      <c r="L86" s="73"/>
      <c r="M86" s="83" t="s">
        <v>170</v>
      </c>
      <c r="N86" s="24"/>
      <c r="O86" s="143">
        <f>IF(N86="x",1,"")</f>
      </c>
      <c r="P86" s="91"/>
      <c r="Q86" s="73"/>
      <c r="R86" s="48" t="s">
        <v>170</v>
      </c>
      <c r="S86" s="24"/>
      <c r="T86" s="143">
        <f>IF(S86="x",1,"")</f>
      </c>
      <c r="U86" s="91"/>
      <c r="V86" s="73"/>
      <c r="W86" s="83" t="s">
        <v>170</v>
      </c>
      <c r="X86" s="24"/>
      <c r="Y86" s="143">
        <f>IF(X86="x",1,"")</f>
      </c>
      <c r="Z86" s="148"/>
      <c r="AA86" s="73"/>
      <c r="AB86" s="83" t="s">
        <v>170</v>
      </c>
      <c r="AC86" s="24"/>
      <c r="AD86" s="143">
        <f>IF(AC86="x",1,"")</f>
      </c>
      <c r="AE86" s="151"/>
      <c r="AF86" s="73"/>
      <c r="AG86" s="155"/>
      <c r="AH86" s="49"/>
      <c r="AI86" s="59"/>
    </row>
    <row r="87" spans="1:35" ht="12.75">
      <c r="A87" s="100"/>
      <c r="B87" s="165" t="s">
        <v>35</v>
      </c>
      <c r="C87" s="163"/>
      <c r="D87" s="61"/>
      <c r="E87" s="185">
        <f>J128</f>
        <v>0</v>
      </c>
      <c r="F87" s="454"/>
      <c r="G87" s="454"/>
      <c r="H87" s="454"/>
      <c r="I87" s="454"/>
      <c r="J87" s="454"/>
      <c r="K87" s="91"/>
      <c r="L87" s="73"/>
      <c r="M87" s="83" t="s">
        <v>171</v>
      </c>
      <c r="N87" s="25" t="s">
        <v>59</v>
      </c>
      <c r="O87" s="143">
        <f>IF(N87="x",2,"")</f>
        <v>2</v>
      </c>
      <c r="P87" s="101"/>
      <c r="Q87" s="73"/>
      <c r="R87" s="48" t="s">
        <v>171</v>
      </c>
      <c r="S87" s="25"/>
      <c r="T87" s="143">
        <f>IF(S87="x",2,"")</f>
      </c>
      <c r="U87" s="91"/>
      <c r="V87" s="73"/>
      <c r="W87" s="83" t="s">
        <v>171</v>
      </c>
      <c r="X87" s="25"/>
      <c r="Y87" s="143">
        <f>IF(X87="x",2,"")</f>
      </c>
      <c r="Z87" s="148"/>
      <c r="AA87" s="73"/>
      <c r="AB87" s="83" t="s">
        <v>171</v>
      </c>
      <c r="AC87" s="25"/>
      <c r="AD87" s="143">
        <f>IF(AC87="x",2,"")</f>
      </c>
      <c r="AE87" s="101"/>
      <c r="AF87" s="73"/>
      <c r="AG87" s="60"/>
      <c r="AH87" s="49"/>
      <c r="AI87" s="61"/>
    </row>
    <row r="88" spans="1:35" ht="12.75">
      <c r="A88" s="100"/>
      <c r="B88" s="81" t="s">
        <v>36</v>
      </c>
      <c r="C88" s="77"/>
      <c r="D88" s="78"/>
      <c r="E88" s="134">
        <f aca="true" t="shared" si="36" ref="E88:J88">SUM(E83:E87)-E82</f>
        <v>333.67004238996395</v>
      </c>
      <c r="F88" s="134">
        <f t="shared" si="36"/>
        <v>516</v>
      </c>
      <c r="G88" s="134">
        <f t="shared" si="36"/>
        <v>0</v>
      </c>
      <c r="H88" s="134">
        <f t="shared" si="36"/>
        <v>0</v>
      </c>
      <c r="I88" s="134">
        <f t="shared" si="36"/>
        <v>0</v>
      </c>
      <c r="J88" s="134">
        <f t="shared" si="36"/>
        <v>0</v>
      </c>
      <c r="K88" s="91"/>
      <c r="L88" s="73"/>
      <c r="M88" s="83">
        <v>6.12</v>
      </c>
      <c r="N88" s="24"/>
      <c r="O88" s="143">
        <f>IF(N88="x",3,"")</f>
      </c>
      <c r="P88" s="91"/>
      <c r="Q88" s="73"/>
      <c r="R88" s="48">
        <v>6.12</v>
      </c>
      <c r="S88" s="24"/>
      <c r="T88" s="143">
        <f>IF(S88="x",3,"")</f>
      </c>
      <c r="U88" s="101"/>
      <c r="V88" s="73"/>
      <c r="W88" s="83">
        <v>6.12</v>
      </c>
      <c r="X88" s="24"/>
      <c r="Y88" s="143">
        <f>IF(X88="x",3,"")</f>
      </c>
      <c r="Z88" s="148"/>
      <c r="AA88" s="73"/>
      <c r="AB88" s="83">
        <v>6.12</v>
      </c>
      <c r="AC88" s="24"/>
      <c r="AD88" s="143">
        <f>IF(AC88="x",3,"")</f>
      </c>
      <c r="AE88" s="151"/>
      <c r="AF88" s="73"/>
      <c r="AG88" s="60"/>
      <c r="AH88" s="49"/>
      <c r="AI88" s="420"/>
    </row>
    <row r="89" spans="1:35" ht="12.75">
      <c r="A89" s="100">
        <v>6</v>
      </c>
      <c r="B89" s="101"/>
      <c r="C89" s="101"/>
      <c r="D89" s="101"/>
      <c r="E89" s="126"/>
      <c r="F89" s="126"/>
      <c r="G89" s="126"/>
      <c r="H89" s="126"/>
      <c r="I89" s="126"/>
      <c r="J89" s="126"/>
      <c r="K89" s="91"/>
      <c r="L89" s="73"/>
      <c r="M89" s="83" t="s">
        <v>172</v>
      </c>
      <c r="N89" s="24"/>
      <c r="O89" s="143">
        <f>IF(N89="x",4,"")</f>
      </c>
      <c r="P89" s="91"/>
      <c r="Q89" s="73"/>
      <c r="R89" s="48" t="s">
        <v>172</v>
      </c>
      <c r="S89" s="24" t="s">
        <v>59</v>
      </c>
      <c r="T89" s="143">
        <f>IF(S89="x",4,"")</f>
        <v>4</v>
      </c>
      <c r="U89" s="147"/>
      <c r="V89" s="73"/>
      <c r="W89" s="83" t="s">
        <v>172</v>
      </c>
      <c r="X89" s="24" t="s">
        <v>59</v>
      </c>
      <c r="Y89" s="143">
        <f>IF(X89="x",4,"")</f>
        <v>4</v>
      </c>
      <c r="Z89" s="148"/>
      <c r="AA89" s="73"/>
      <c r="AB89" s="83" t="s">
        <v>172</v>
      </c>
      <c r="AC89" s="24" t="s">
        <v>59</v>
      </c>
      <c r="AD89" s="143">
        <f>IF(AC89="x",4,"")</f>
        <v>4</v>
      </c>
      <c r="AE89" s="101"/>
      <c r="AF89" s="73"/>
      <c r="AG89" s="62"/>
      <c r="AH89" s="49"/>
      <c r="AI89" s="421"/>
    </row>
    <row r="90" spans="1:35" ht="12.75">
      <c r="A90" s="100"/>
      <c r="B90" s="166" t="s">
        <v>37</v>
      </c>
      <c r="C90" s="77"/>
      <c r="D90" s="78"/>
      <c r="E90" s="131"/>
      <c r="F90" s="132"/>
      <c r="G90" s="132"/>
      <c r="H90" s="132"/>
      <c r="I90" s="132"/>
      <c r="J90" s="133"/>
      <c r="K90" s="91"/>
      <c r="L90" s="73"/>
      <c r="M90" s="73" t="s">
        <v>168</v>
      </c>
      <c r="N90" s="20"/>
      <c r="O90" s="201" t="s">
        <v>176</v>
      </c>
      <c r="P90" s="91"/>
      <c r="Q90" s="73"/>
      <c r="R90" s="46" t="s">
        <v>168</v>
      </c>
      <c r="S90" s="20"/>
      <c r="T90" s="201" t="s">
        <v>176</v>
      </c>
      <c r="U90" s="100"/>
      <c r="V90" s="46"/>
      <c r="W90" s="46" t="s">
        <v>168</v>
      </c>
      <c r="X90" s="20"/>
      <c r="Y90" s="186" t="s">
        <v>176</v>
      </c>
      <c r="Z90" s="149"/>
      <c r="AA90" s="73"/>
      <c r="AB90" s="73" t="s">
        <v>168</v>
      </c>
      <c r="AC90" s="20"/>
      <c r="AD90" s="201" t="s">
        <v>176</v>
      </c>
      <c r="AE90" s="152"/>
      <c r="AF90" s="73"/>
      <c r="AG90" s="73" t="s">
        <v>168</v>
      </c>
      <c r="AH90" s="20"/>
      <c r="AI90" s="419" t="s">
        <v>176</v>
      </c>
    </row>
    <row r="91" spans="1:35" ht="12.75">
      <c r="A91" s="100"/>
      <c r="B91" s="82" t="s">
        <v>38</v>
      </c>
      <c r="C91" s="80"/>
      <c r="D91" s="80"/>
      <c r="E91" s="14"/>
      <c r="F91" s="315"/>
      <c r="G91" s="315"/>
      <c r="H91" s="315"/>
      <c r="I91" s="315"/>
      <c r="J91" s="315"/>
      <c r="K91" s="91"/>
      <c r="L91" s="73"/>
      <c r="M91" s="73" t="s">
        <v>163</v>
      </c>
      <c r="N91" s="20"/>
      <c r="O91" s="201" t="s">
        <v>177</v>
      </c>
      <c r="P91" s="91"/>
      <c r="Q91" s="73"/>
      <c r="R91" s="46" t="s">
        <v>163</v>
      </c>
      <c r="S91" s="20"/>
      <c r="T91" s="201" t="s">
        <v>177</v>
      </c>
      <c r="U91" s="100"/>
      <c r="V91" s="46"/>
      <c r="W91" s="46" t="s">
        <v>163</v>
      </c>
      <c r="X91" s="20"/>
      <c r="Y91" s="186" t="s">
        <v>177</v>
      </c>
      <c r="Z91" s="149"/>
      <c r="AA91" s="73"/>
      <c r="AB91" s="73" t="s">
        <v>163</v>
      </c>
      <c r="AC91" s="20"/>
      <c r="AD91" s="201" t="s">
        <v>177</v>
      </c>
      <c r="AE91" s="148"/>
      <c r="AF91" s="73"/>
      <c r="AG91" s="73"/>
      <c r="AH91" s="154"/>
      <c r="AI91" s="201" t="s">
        <v>177</v>
      </c>
    </row>
    <row r="92" spans="1:35" ht="12.75">
      <c r="A92" s="100"/>
      <c r="B92" s="84" t="s">
        <v>39</v>
      </c>
      <c r="C92" s="73"/>
      <c r="D92" s="73" t="s">
        <v>13</v>
      </c>
      <c r="E92" s="11"/>
      <c r="F92" s="316"/>
      <c r="G92" s="316"/>
      <c r="H92" s="316"/>
      <c r="I92" s="316"/>
      <c r="J92" s="316"/>
      <c r="K92" s="91"/>
      <c r="L92" s="73"/>
      <c r="M92" s="73" t="s">
        <v>169</v>
      </c>
      <c r="N92" s="9"/>
      <c r="O92" s="200">
        <f>F149*1000-N90</f>
        <v>0</v>
      </c>
      <c r="P92" s="91"/>
      <c r="Q92" s="73"/>
      <c r="R92" s="46" t="s">
        <v>169</v>
      </c>
      <c r="S92" s="9"/>
      <c r="T92" s="200">
        <f>O92-S90</f>
        <v>0</v>
      </c>
      <c r="U92" s="100"/>
      <c r="V92" s="46"/>
      <c r="W92" s="46" t="s">
        <v>169</v>
      </c>
      <c r="X92" s="9"/>
      <c r="Y92" s="202">
        <f>T92-X90</f>
        <v>0</v>
      </c>
      <c r="Z92" s="150"/>
      <c r="AA92" s="73"/>
      <c r="AB92" s="73" t="s">
        <v>169</v>
      </c>
      <c r="AC92" s="9"/>
      <c r="AD92" s="200">
        <f>Y92-AC90</f>
        <v>0</v>
      </c>
      <c r="AE92" s="126"/>
      <c r="AF92" s="73"/>
      <c r="AG92" s="73"/>
      <c r="AH92" s="84"/>
      <c r="AI92" s="200">
        <f>AD92-AH90</f>
        <v>0</v>
      </c>
    </row>
    <row r="93" spans="1:35" ht="12.75">
      <c r="A93" s="100"/>
      <c r="B93" s="84" t="s">
        <v>40</v>
      </c>
      <c r="C93" s="73"/>
      <c r="D93" s="73" t="s">
        <v>13</v>
      </c>
      <c r="E93" s="11"/>
      <c r="F93" s="316"/>
      <c r="G93" s="316"/>
      <c r="H93" s="316"/>
      <c r="I93" s="316"/>
      <c r="J93" s="316"/>
      <c r="K93" s="91"/>
      <c r="L93" s="73"/>
      <c r="M93" s="83" t="s">
        <v>93</v>
      </c>
      <c r="N93" s="83" t="s">
        <v>95</v>
      </c>
      <c r="O93" s="73" t="s">
        <v>168</v>
      </c>
      <c r="P93" s="91"/>
      <c r="Q93" s="73"/>
      <c r="R93" s="48" t="s">
        <v>93</v>
      </c>
      <c r="S93" s="83" t="s">
        <v>95</v>
      </c>
      <c r="T93" s="73" t="s">
        <v>168</v>
      </c>
      <c r="U93" s="100"/>
      <c r="V93" s="46"/>
      <c r="W93" s="48" t="s">
        <v>93</v>
      </c>
      <c r="X93" s="48" t="s">
        <v>95</v>
      </c>
      <c r="Y93" s="46" t="s">
        <v>168</v>
      </c>
      <c r="Z93" s="100"/>
      <c r="AA93" s="73"/>
      <c r="AB93" s="83" t="s">
        <v>93</v>
      </c>
      <c r="AC93" s="83" t="s">
        <v>95</v>
      </c>
      <c r="AD93" s="73" t="s">
        <v>168</v>
      </c>
      <c r="AE93" s="101"/>
      <c r="AF93" s="73"/>
      <c r="AG93" s="83" t="s">
        <v>93</v>
      </c>
      <c r="AH93" s="83" t="s">
        <v>95</v>
      </c>
      <c r="AI93" s="73" t="s">
        <v>168</v>
      </c>
    </row>
    <row r="94" spans="1:35" ht="12.75">
      <c r="A94" s="100"/>
      <c r="B94" s="73" t="s">
        <v>31</v>
      </c>
      <c r="C94" s="73"/>
      <c r="D94" s="73"/>
      <c r="E94" s="11"/>
      <c r="F94" s="316"/>
      <c r="G94" s="316"/>
      <c r="H94" s="316"/>
      <c r="I94" s="316"/>
      <c r="J94" s="316"/>
      <c r="K94" s="91"/>
      <c r="L94" s="135" t="str">
        <f>E28</f>
        <v>jan</v>
      </c>
      <c r="M94" s="140" t="str">
        <f>IF(O89=4,N92*N90/100,IF(AND(O87=2,OR(L94="mar",L94="jun",L94="sep",L94="dec")),N90*N92/100,IF(AND(O88=3,OR(L94="jun",L94="dec")),N90*N92/100,IF(AND(O86=1,OR(L94="jan",L94="apr",L94="jul",L94="okt")),N90*N92/100,"0"))))</f>
        <v>0</v>
      </c>
      <c r="N94" s="140" t="str">
        <f>IF(M94="0","0",N91-M94)</f>
        <v>0</v>
      </c>
      <c r="O94" s="141">
        <f>N90-N94</f>
        <v>0</v>
      </c>
      <c r="P94" s="91"/>
      <c r="Q94" s="135" t="str">
        <f>L94</f>
        <v>jan</v>
      </c>
      <c r="R94" s="153">
        <f>IF(T89=4,S92*S90/100,IF(AND(T87=2,OR(Q94="mar",Q94="jun",Q94="sep",Q94="dec")),S90*S92/100,IF(AND(T88=3,OR(Q94="jun",Q94="dec")),S90*S92/100,IF(AND(T86=1,OR(Q94="jan",Q94="apr",Q94="jul",Q94="okt")),S90*S92/100,"0"))))</f>
        <v>0</v>
      </c>
      <c r="S94" s="140">
        <f>IF(R94="0","0",S91-R94)</f>
        <v>0</v>
      </c>
      <c r="T94" s="141">
        <f>S90-S94</f>
        <v>0</v>
      </c>
      <c r="U94" s="101"/>
      <c r="V94" s="65" t="str">
        <f>Q94</f>
        <v>jan</v>
      </c>
      <c r="W94" s="153">
        <f>IF(Y89=4,X92*X90/100,IF(AND(Y87=2,OR(V94="mar",V94="jun",V94="sep",V94="dec")),X90*X92/100,IF(AND(Y88=3,OR(V94="jun",V94="dec")),X90*X92/100,IF(AND(Y86=1,OR(V94="jan",V94="apr",V94="jul",V94="okt")),X90*X92/100,"0"))))</f>
        <v>0</v>
      </c>
      <c r="X94" s="153">
        <f>IF(W94="0","0",X91-W94)</f>
        <v>0</v>
      </c>
      <c r="Y94" s="74">
        <f>X90-X94</f>
        <v>0</v>
      </c>
      <c r="Z94" s="146"/>
      <c r="AA94" s="135" t="str">
        <f>V94</f>
        <v>jan</v>
      </c>
      <c r="AB94" s="140">
        <f>IF(AD89=4,AC92*AC90/100,IF(AND(AD87=2,OR(AA94="mar",AA94="jun",AA94="sep",AA94="dec")),AC90*AC92/100,IF(AND(AD88=3,OR(AA94="jun",AA94="dec")),AC90*AC92/100,IF(AND(AD86=1,OR(AA94="jan",AA94="apr",AA94="jul",AA94="okt")),AC90*AC92/100,"0"))))</f>
        <v>0</v>
      </c>
      <c r="AC94" s="140">
        <f>IF(AB94="0","0",AC91-AB94)</f>
        <v>0</v>
      </c>
      <c r="AD94" s="141">
        <f>AC90-AC94</f>
        <v>0</v>
      </c>
      <c r="AE94" s="146"/>
      <c r="AF94" s="135" t="str">
        <f>AA94</f>
        <v>jan</v>
      </c>
      <c r="AG94" s="21"/>
      <c r="AH94" s="21"/>
      <c r="AI94" s="140">
        <f>IF(AI88=AF94,AH90-AH94+AI89,AH90-AH94)</f>
        <v>0</v>
      </c>
    </row>
    <row r="95" spans="1:35" ht="12.75">
      <c r="A95" s="100"/>
      <c r="B95" s="73" t="s">
        <v>41</v>
      </c>
      <c r="C95" s="73"/>
      <c r="D95" s="73"/>
      <c r="E95" s="11"/>
      <c r="F95" s="316"/>
      <c r="G95" s="316"/>
      <c r="H95" s="316"/>
      <c r="I95" s="316"/>
      <c r="J95" s="316"/>
      <c r="K95" s="91"/>
      <c r="L95" s="135" t="str">
        <f>N110</f>
        <v>feb</v>
      </c>
      <c r="M95" s="140" t="str">
        <f>IF(O89=4,O94*N92/100,IF(AND(O87=2,OR(L95="mar",L95="jun",L95="sep",L95="dec")),N90*N92/100,IF(AND(O88=3,OR(L95="jun",L95="dec")),N90*N92/100,IF(AND(O86=1,OR(L95="jan",L95="apr",L95="jul",L95="okt")),N90*N92/100,"0"))))</f>
        <v>0</v>
      </c>
      <c r="N95" s="140" t="str">
        <f>IF(M95="0","0",N91-M95)</f>
        <v>0</v>
      </c>
      <c r="O95" s="141">
        <f aca="true" t="shared" si="37" ref="O95:O105">O94-N95</f>
        <v>0</v>
      </c>
      <c r="P95" s="91"/>
      <c r="Q95" s="135" t="str">
        <f aca="true" t="shared" si="38" ref="Q95:Q105">L95</f>
        <v>feb</v>
      </c>
      <c r="R95" s="153">
        <f>IF(T89=4,T94*S92/100,IF(AND(T87=2,OR(Q95="mar",Q95="jun",Q95="sep",Q95="dec")),S90*S92/100,IF(AND(T88=3,OR(Q95="jun",Q95="dec")),S90*S92/100,IF(AND(T86=1,OR(Q95="jan",Q95="apr",Q95="jul",Q95="okt")),S90*S92/100,"0"))))</f>
        <v>0</v>
      </c>
      <c r="S95" s="140">
        <f>IF(R95="0","0",S91-R95)</f>
        <v>0</v>
      </c>
      <c r="T95" s="141">
        <f aca="true" t="shared" si="39" ref="T95:T105">T94-S95</f>
        <v>0</v>
      </c>
      <c r="U95" s="101"/>
      <c r="V95" s="65" t="str">
        <f aca="true" t="shared" si="40" ref="V95:V105">Q95</f>
        <v>feb</v>
      </c>
      <c r="W95" s="153">
        <f>IF(Y89=4,Y94*X92/100,IF(AND(Y87=2,OR(V95="mar",V95="jun",V95="sep",V95="dec")),X90*X92/100,IF(AND(Y88=3,OR(V95="jun",V95="dec")),X90*X92/100,IF(AND(Y86=1,OR(V95="jan",V95="apr",V95="jul",V95="okt")),X90*X92/100,"0"))))</f>
        <v>0</v>
      </c>
      <c r="X95" s="153">
        <f>IF(W95="0","0",X91-W95)</f>
        <v>0</v>
      </c>
      <c r="Y95" s="74">
        <f aca="true" t="shared" si="41" ref="Y95:Y105">Y94-X95</f>
        <v>0</v>
      </c>
      <c r="Z95" s="146"/>
      <c r="AA95" s="135" t="str">
        <f aca="true" t="shared" si="42" ref="AA95:AA105">V95</f>
        <v>feb</v>
      </c>
      <c r="AB95" s="140">
        <f>IF(AD89=4,AD94*AC92/100,IF(AND(AD87=2,OR(AA95="mar",AA95="jun",AA95="sep",AA95="dec")),AC90*AC92/100,IF(AND(AD88=3,OR(AA95="jun",AA95="dec")),AC90*AC92/100,IF(AND(AD86=1,OR(AA95="jan",AA95="apr",AA95="jul",AA95="okt")),AC90*AC92/100,"0"))))</f>
        <v>0</v>
      </c>
      <c r="AC95" s="140">
        <f>IF(AB95="0","0",AC91-AB95)</f>
        <v>0</v>
      </c>
      <c r="AD95" s="141">
        <f aca="true" t="shared" si="43" ref="AD95:AD105">AD94-AC95</f>
        <v>0</v>
      </c>
      <c r="AE95" s="126"/>
      <c r="AF95" s="135" t="str">
        <f aca="true" t="shared" si="44" ref="AF95:AF105">AA95</f>
        <v>feb</v>
      </c>
      <c r="AG95" s="21"/>
      <c r="AH95" s="21"/>
      <c r="AI95" s="140">
        <f>IF(AI88=AF95,AH90-AH95+AI89,AI94-AH95)</f>
        <v>0</v>
      </c>
    </row>
    <row r="96" spans="1:35" ht="12.75">
      <c r="A96" s="100"/>
      <c r="B96" s="73" t="s">
        <v>42</v>
      </c>
      <c r="C96" s="73"/>
      <c r="D96" s="73" t="s">
        <v>13</v>
      </c>
      <c r="E96" s="207">
        <f>(M106+R106+W106+AB106+AG106)/1000*-1</f>
        <v>0</v>
      </c>
      <c r="F96" s="316"/>
      <c r="G96" s="316"/>
      <c r="H96" s="316"/>
      <c r="I96" s="316"/>
      <c r="J96" s="316"/>
      <c r="K96" s="91"/>
      <c r="L96" s="135" t="str">
        <f>O110</f>
        <v>mar</v>
      </c>
      <c r="M96" s="140">
        <f>IF(O89=4,O95*N92/100,IF(AND(O87=2,OR(L96="mar",L96="jun",L96="sep",L96="dec")),O95*N92/100,IF(AND(O88=3,OR(L96="jun",L96="dec")),O95*N92/100,IF(AND(O86=1,OR(L96="jan",L96="apr",L96="jul",L96="okt")),O95*N92/100,"0"))))</f>
        <v>0</v>
      </c>
      <c r="N96" s="140">
        <f>IF(M96="0","0",N91-M96)</f>
        <v>0</v>
      </c>
      <c r="O96" s="141">
        <f t="shared" si="37"/>
        <v>0</v>
      </c>
      <c r="P96" s="91"/>
      <c r="Q96" s="135" t="str">
        <f t="shared" si="38"/>
        <v>mar</v>
      </c>
      <c r="R96" s="153">
        <f>IF(T89=4,T95*S92/100,IF(AND(T87=2,OR(Q96="mar",Q96="jun",Q96="sep",Q96="dec")),T95*S92/100,IF(AND(T88=3,OR(Q96="jun",Q96="dec")),T95*S92/100,IF(AND(T86=1,OR(Q96="jan",Q96="apr",Q96="jul",Q96="okt")),T95*S92/100,"0"))))</f>
        <v>0</v>
      </c>
      <c r="S96" s="140">
        <f>IF(R96="0","0",S91-R96)</f>
        <v>0</v>
      </c>
      <c r="T96" s="141">
        <f t="shared" si="39"/>
        <v>0</v>
      </c>
      <c r="U96" s="101"/>
      <c r="V96" s="65" t="str">
        <f t="shared" si="40"/>
        <v>mar</v>
      </c>
      <c r="W96" s="153">
        <f>IF(Y89=4,Y95*X92/100,IF(AND(Y87=2,OR(V96="mar",V96="jun",V96="sep",V96="dec")),Y95*X92/100,IF(AND(Y88=3,OR(V96="jun",V96="dec")),Y95*X92/100,IF(AND(Y86=1,OR(V96="jan",V96="apr",V96="jul",V96="okt")),Y95*X92/100,"0"))))</f>
        <v>0</v>
      </c>
      <c r="X96" s="153">
        <f>IF(W96="0","0",X91-W96)</f>
        <v>0</v>
      </c>
      <c r="Y96" s="74">
        <f t="shared" si="41"/>
        <v>0</v>
      </c>
      <c r="Z96" s="146"/>
      <c r="AA96" s="135" t="str">
        <f t="shared" si="42"/>
        <v>mar</v>
      </c>
      <c r="AB96" s="140">
        <f>IF(AD89=4,AD95*AC92/100,IF(AND(AD87=2,OR(AA96="mar",AA96="jun",AA96="sep",AA96="dec")),AD95*AC92/100,IF(AND(AD88=3,OR(AA96="jun",AA96="dec")),AD95*AC92/100,IF(AND(AD86=1,OR(AA96="jan",AA96="apr",AA96="jul",AA96="okt")),AD95*AC92/100,"0"))))</f>
        <v>0</v>
      </c>
      <c r="AC96" s="140">
        <f>IF(AB96="0","0",AC91-AB96)</f>
        <v>0</v>
      </c>
      <c r="AD96" s="141">
        <f t="shared" si="43"/>
        <v>0</v>
      </c>
      <c r="AE96" s="126"/>
      <c r="AF96" s="135" t="str">
        <f t="shared" si="44"/>
        <v>mar</v>
      </c>
      <c r="AG96" s="21"/>
      <c r="AH96" s="21"/>
      <c r="AI96" s="140">
        <f>IF(AI88=AF96,AH90-AH96+AI89,AI95-AH96)</f>
        <v>0</v>
      </c>
    </row>
    <row r="97" spans="1:35" ht="12.75">
      <c r="A97" s="100"/>
      <c r="B97" s="73" t="s">
        <v>43</v>
      </c>
      <c r="C97" s="73"/>
      <c r="D97" s="73" t="s">
        <v>13</v>
      </c>
      <c r="E97" s="11">
        <v>-5</v>
      </c>
      <c r="F97" s="316">
        <v>-5</v>
      </c>
      <c r="G97" s="316"/>
      <c r="H97" s="316"/>
      <c r="I97" s="316"/>
      <c r="J97" s="316"/>
      <c r="K97" s="91"/>
      <c r="L97" s="135" t="str">
        <f>P110</f>
        <v>apr</v>
      </c>
      <c r="M97" s="140" t="str">
        <f>IF(O89=4,O96*N92/100,IF(AND(O87=2,OR(L97="mar",L97="jun",L97="sep",L97="dec")),O96*N92/100,IF(AND(O88=3,OR(L97="jun",L97="dec")),O96*N92/100,IF(AND(O86=1,OR(L97="jan",L97="apr",L97="jul",L97="okt")),O96*N92/100,"0"))))</f>
        <v>0</v>
      </c>
      <c r="N97" s="140" t="str">
        <f>IF(M97="0","0",N91-M97)</f>
        <v>0</v>
      </c>
      <c r="O97" s="141">
        <f t="shared" si="37"/>
        <v>0</v>
      </c>
      <c r="P97" s="91"/>
      <c r="Q97" s="135" t="str">
        <f t="shared" si="38"/>
        <v>apr</v>
      </c>
      <c r="R97" s="153">
        <f>IF(T89=4,T96*S92/100,IF(AND(T87=2,OR(Q97="mar",Q97="jun",Q97="sep",Q97="dec")),T96*S92/100,IF(AND(T88=3,OR(Q97="jun",Q97="dec")),T96*S92/100,IF(AND(T86=1,OR(Q97="jan",Q97="apr",Q97="jul",Q97="okt")),T96*S92/100,"0"))))</f>
        <v>0</v>
      </c>
      <c r="S97" s="140">
        <f>IF(R97="0","0",S91-R97)</f>
        <v>0</v>
      </c>
      <c r="T97" s="141">
        <f t="shared" si="39"/>
        <v>0</v>
      </c>
      <c r="U97" s="100"/>
      <c r="V97" s="65" t="str">
        <f t="shared" si="40"/>
        <v>apr</v>
      </c>
      <c r="W97" s="153">
        <f>IF(Y89=4,Y96*X92/100,IF(AND(Y87=2,OR(V97="mar",V97="jun",V97="sep",V97="dec")),Y96*X92/100,IF(AND(Y88=3,OR(V97="jun",V97="dec")),Y96*X92/100,IF(AND(Y86=1,OR(V97="jan",V97="apr",V97="jul",V97="okt")),Y96*X92/100,"0"))))</f>
        <v>0</v>
      </c>
      <c r="X97" s="153">
        <f>IF(W97="0","0",X91-W97)</f>
        <v>0</v>
      </c>
      <c r="Y97" s="74">
        <f t="shared" si="41"/>
        <v>0</v>
      </c>
      <c r="Z97" s="146"/>
      <c r="AA97" s="135" t="str">
        <f t="shared" si="42"/>
        <v>apr</v>
      </c>
      <c r="AB97" s="140">
        <f>IF(AD89=4,AD96*AC92/100,IF(AND(AD87=2,OR(AA97="mar",AA97="jun",AA97="sep",AA97="dec")),AD96*AC92/100,IF(AND(AD88=3,OR(AA97="jun",AA97="dec")),AD96*AC92/100,IF(AND(AD86=1,OR(AA97="jan",AA97="apr",AA97="jul",AA97="okt")),AD96*AC92/100,"0"))))</f>
        <v>0</v>
      </c>
      <c r="AC97" s="140">
        <f>IF(AB97="0","0",AC91-AB97)</f>
        <v>0</v>
      </c>
      <c r="AD97" s="141">
        <f t="shared" si="43"/>
        <v>0</v>
      </c>
      <c r="AE97" s="126"/>
      <c r="AF97" s="135" t="str">
        <f t="shared" si="44"/>
        <v>apr</v>
      </c>
      <c r="AG97" s="21"/>
      <c r="AH97" s="21"/>
      <c r="AI97" s="140">
        <f>IF(AI88=AF97,AH90-AH97+AI89,AI96-AH97)</f>
        <v>0</v>
      </c>
    </row>
    <row r="98" spans="1:35" ht="12.75">
      <c r="A98" s="100"/>
      <c r="B98" s="75" t="s">
        <v>44</v>
      </c>
      <c r="C98" s="73"/>
      <c r="D98" s="73"/>
      <c r="E98" s="134">
        <f aca="true" t="shared" si="45" ref="E98:J98">SUM(E91:E97)</f>
        <v>-5</v>
      </c>
      <c r="F98" s="134">
        <f t="shared" si="45"/>
        <v>-5</v>
      </c>
      <c r="G98" s="134">
        <f t="shared" si="45"/>
        <v>0</v>
      </c>
      <c r="H98" s="134">
        <f t="shared" si="45"/>
        <v>0</v>
      </c>
      <c r="I98" s="134">
        <f t="shared" si="45"/>
        <v>0</v>
      </c>
      <c r="J98" s="134">
        <f t="shared" si="45"/>
        <v>0</v>
      </c>
      <c r="K98" s="91"/>
      <c r="L98" s="135" t="str">
        <f>Q110</f>
        <v>maj</v>
      </c>
      <c r="M98" s="140" t="str">
        <f>IF(O89=4,O97*N92/100,IF(AND(O87=2,OR(L98="mar",L98="jun",L98="sep",L98="dec")),O97*N92/100,IF(AND(O88=3,OR(L98="jun",L98="dec")),O97*N92/100,IF(AND(O86=1,OR(L98="jan",L98="apr",L98="jul",L98="okt")),O97*N92/100,"0"))))</f>
        <v>0</v>
      </c>
      <c r="N98" s="140" t="str">
        <f>IF(M98="0","0",N91-M98)</f>
        <v>0</v>
      </c>
      <c r="O98" s="141">
        <f t="shared" si="37"/>
        <v>0</v>
      </c>
      <c r="P98" s="91"/>
      <c r="Q98" s="135" t="str">
        <f t="shared" si="38"/>
        <v>maj</v>
      </c>
      <c r="R98" s="153">
        <f>IF(T89=4,T97*S92/100,IF(AND(T87=2,OR(Q98="mar",Q98="jun",Q98="sep",Q98="dec")),T97*S92/100,IF(AND(T88=3,OR(Q98="jun",Q98="dec")),T97*S92/100,IF(AND(T86=1,OR(Q98="jan",Q98="apr",Q98="jul",Q98="okt")),T97*S92/100,"0"))))</f>
        <v>0</v>
      </c>
      <c r="S98" s="140">
        <f>IF(R98="0","0",S91-R98)</f>
        <v>0</v>
      </c>
      <c r="T98" s="141">
        <f t="shared" si="39"/>
        <v>0</v>
      </c>
      <c r="U98" s="146"/>
      <c r="V98" s="65" t="str">
        <f t="shared" si="40"/>
        <v>maj</v>
      </c>
      <c r="W98" s="153">
        <f>IF(Y89=4,Y97*X92/100,IF(AND(Y87=2,OR(V98="mar",V98="jun",V98="sep",V98="dec")),Y97*X92/100,IF(AND(Y88=3,OR(V98="jun",V98="dec")),Y97*X92/100,IF(AND(Y86=1,OR(V98="jan",V98="apr",V98="jul",V98="okt")),Y97*X92/100,"0"))))</f>
        <v>0</v>
      </c>
      <c r="X98" s="153">
        <f>IF(W98="0","0",X91-W98)</f>
        <v>0</v>
      </c>
      <c r="Y98" s="74">
        <f t="shared" si="41"/>
        <v>0</v>
      </c>
      <c r="Z98" s="146"/>
      <c r="AA98" s="135" t="str">
        <f t="shared" si="42"/>
        <v>maj</v>
      </c>
      <c r="AB98" s="140">
        <f>IF(AD89=4,AD97*AC92/100,IF(AND(AD87=2,OR(AA98="mar",AA98="jun",AA98="sep",AA98="dec")),AD97*AC92/100,IF(AND(AD88=3,OR(AA98="jun",AA98="dec")),AD97*AC92/100,IF(AND(AD86=1,OR(AA98="jan",AA98="apr",AA98="jul",AA98="okt")),AD97*AC92/100,"0"))))</f>
        <v>0</v>
      </c>
      <c r="AC98" s="140">
        <f>IF(AB98="0","0",AC91-AB98)</f>
        <v>0</v>
      </c>
      <c r="AD98" s="141">
        <f t="shared" si="43"/>
        <v>0</v>
      </c>
      <c r="AE98" s="126"/>
      <c r="AF98" s="135" t="str">
        <f t="shared" si="44"/>
        <v>maj</v>
      </c>
      <c r="AG98" s="21"/>
      <c r="AH98" s="21"/>
      <c r="AI98" s="140">
        <f>IF(AI88=AF98,AI97-AH98+AI89,AI97-AH98)</f>
        <v>0</v>
      </c>
    </row>
    <row r="99" spans="1:35" ht="12.75">
      <c r="A99" s="100">
        <v>7</v>
      </c>
      <c r="B99" s="125"/>
      <c r="C99" s="101"/>
      <c r="D99" s="101"/>
      <c r="E99" s="126"/>
      <c r="F99" s="126"/>
      <c r="G99" s="126"/>
      <c r="H99" s="126"/>
      <c r="I99" s="126"/>
      <c r="J99" s="126"/>
      <c r="K99" s="91"/>
      <c r="L99" s="135" t="str">
        <f>R110</f>
        <v>jun</v>
      </c>
      <c r="M99" s="140">
        <f>IF(O89=4,O98*N92/100,IF(AND(O87=2,OR(L99="mar",L99="jun",L99="sep",L99="dec")),O98*N92/100,IF(AND(O88=3,OR(L99="jun",L99="dec")),O98*N92/100,IF(AND(O86=1,OR(L99="jan",L99="apr",L99="jul",L99="okt")),O98*N92/100,"0"))))</f>
        <v>0</v>
      </c>
      <c r="N99" s="140">
        <f>IF(M99="0","0",N91-M99)</f>
        <v>0</v>
      </c>
      <c r="O99" s="141">
        <f t="shared" si="37"/>
        <v>0</v>
      </c>
      <c r="P99" s="91"/>
      <c r="Q99" s="135" t="str">
        <f t="shared" si="38"/>
        <v>jun</v>
      </c>
      <c r="R99" s="153">
        <f>IF(T89=4,T98*S92/100,IF(AND(T87=2,OR(Q99="mar",Q99="jun",Q99="sep",Q99="dec")),T98*S92/100,IF(AND(T88=3,OR(Q99="jun",Q99="dec")),T98*S92/100,IF(AND(T86=1,OR(Q99="jan",Q99="apr",Q99="jul",Q99="okt")),T98*S92/100,"0"))))</f>
        <v>0</v>
      </c>
      <c r="S99" s="140">
        <f>IF(R99="0","0",S91-R99)</f>
        <v>0</v>
      </c>
      <c r="T99" s="141">
        <f t="shared" si="39"/>
        <v>0</v>
      </c>
      <c r="U99" s="146"/>
      <c r="V99" s="65" t="str">
        <f t="shared" si="40"/>
        <v>jun</v>
      </c>
      <c r="W99" s="153">
        <f>IF(Y89=4,Y98*X92/100,IF(AND(Y87=2,OR(V99="mar",V99="jun",V99="sep",V99="dec")),Y98*X92/100,IF(AND(Y88=3,OR(V99="jun",V99="dec")),Y98*X92/100,IF(AND(Y86=1,OR(V99="jan",V99="apr",V99="jul",V99="okt")),Y98*X92/100,"0"))))</f>
        <v>0</v>
      </c>
      <c r="X99" s="153">
        <f>IF(W99="0","0",X91-W99)</f>
        <v>0</v>
      </c>
      <c r="Y99" s="74">
        <f t="shared" si="41"/>
        <v>0</v>
      </c>
      <c r="Z99" s="146"/>
      <c r="AA99" s="135" t="str">
        <f t="shared" si="42"/>
        <v>jun</v>
      </c>
      <c r="AB99" s="140">
        <f>IF(AD89=4,AD98*AC92/100,IF(AND(AD87=2,OR(AA99="mar",AA99="jun",AA99="sep",AA99="dec")),AD98*AC92/100,IF(AND(AD88=3,OR(AA99="jun",AA99="dec")),AD98*AC92/100,IF(AND(AD86=1,OR(AA99="jan",AA99="apr",AA99="jul",AA99="okt")),AD98*AC92/100,"0"))))</f>
        <v>0</v>
      </c>
      <c r="AC99" s="140">
        <f>IF(AB99="0","0",AC91-AB99)</f>
        <v>0</v>
      </c>
      <c r="AD99" s="141">
        <f t="shared" si="43"/>
        <v>0</v>
      </c>
      <c r="AE99" s="126"/>
      <c r="AF99" s="135" t="str">
        <f t="shared" si="44"/>
        <v>jun</v>
      </c>
      <c r="AG99" s="21"/>
      <c r="AH99" s="21"/>
      <c r="AI99" s="140">
        <f>IF(AI88=AF99,AI98-AH99+AI89,AI98-AH99)</f>
        <v>0</v>
      </c>
    </row>
    <row r="100" spans="1:35" ht="12.75">
      <c r="A100" s="101"/>
      <c r="B100" s="166" t="s">
        <v>45</v>
      </c>
      <c r="C100" s="77"/>
      <c r="D100" s="78"/>
      <c r="E100" s="131"/>
      <c r="F100" s="132"/>
      <c r="G100" s="132"/>
      <c r="H100" s="132"/>
      <c r="I100" s="132"/>
      <c r="J100" s="133"/>
      <c r="K100" s="91"/>
      <c r="L100" s="135" t="str">
        <f>S110</f>
        <v>jul</v>
      </c>
      <c r="M100" s="140" t="str">
        <f>IF(O89=4,O99*N92/100,IF(AND(O87=2,OR(L100="mar",L100="jun",L100="sep",L100="dec")),O99*N92/100,IF(AND(O88=3,OR(L100="jun",L100="dec")),O99*N92/100,IF(AND(O86=1,OR(L100="jan",L100="apr",L100="jul",L100="okt")),O99*N92/100,"0"))))</f>
        <v>0</v>
      </c>
      <c r="N100" s="140" t="str">
        <f>IF(M100="0","0",N91-M100)</f>
        <v>0</v>
      </c>
      <c r="O100" s="141">
        <f t="shared" si="37"/>
        <v>0</v>
      </c>
      <c r="P100" s="91"/>
      <c r="Q100" s="135" t="str">
        <f t="shared" si="38"/>
        <v>jul</v>
      </c>
      <c r="R100" s="153">
        <f>IF(T89=4,T99*S92/100,IF(AND(T87=2,OR(Q100="mar",Q100="jun",Q100="sep",Q100="dec")),T99*S92/100,IF(AND(T88=3,OR(Q100="jun",Q100="dec")),T99*S92/100,IF(AND(T86=1,OR(Q100="jan",Q100="apr",Q100="jul",Q100="okt")),T99*S92/100,"0"))))</f>
        <v>0</v>
      </c>
      <c r="S100" s="140">
        <f>IF(R100="0","0",S91-R100)</f>
        <v>0</v>
      </c>
      <c r="T100" s="141">
        <f t="shared" si="39"/>
        <v>0</v>
      </c>
      <c r="U100" s="146"/>
      <c r="V100" s="65" t="str">
        <f t="shared" si="40"/>
        <v>jul</v>
      </c>
      <c r="W100" s="153">
        <f>IF(Y89=4,Y99*X92/100,IF(AND(Y87=2,OR(V100="mar",V100="jun",V100="sep",V100="dec")),Y99*X92/100,IF(AND(Y88=3,OR(V100="jun",V100="dec")),Y99*X92/100,IF(AND(Y86=1,OR(V100="jan",V100="apr",V100="jul",V100="okt")),Y99*X92/100,"0"))))</f>
        <v>0</v>
      </c>
      <c r="X100" s="153">
        <f>IF(W100="0","0",X91-W100)</f>
        <v>0</v>
      </c>
      <c r="Y100" s="74">
        <f t="shared" si="41"/>
        <v>0</v>
      </c>
      <c r="Z100" s="146"/>
      <c r="AA100" s="135" t="str">
        <f t="shared" si="42"/>
        <v>jul</v>
      </c>
      <c r="AB100" s="140">
        <f>IF(AD89=4,AD99*AC92/100,IF(AND(AD87=2,OR(AA100="mar",AA100="jun",AA100="sep",AA100="dec")),AD99*AC92/100,IF(AND(AD88=3,OR(AA100="jun",AA100="dec")),AD99*AC92/100,IF(AND(AD86=1,OR(AA100="jan",AA100="apr",AA100="jul",AA100="okt")),AD99*AC92/100,"0"))))</f>
        <v>0</v>
      </c>
      <c r="AC100" s="140">
        <f>IF(AB100="0","0",AC91-AB100)</f>
        <v>0</v>
      </c>
      <c r="AD100" s="141">
        <f t="shared" si="43"/>
        <v>0</v>
      </c>
      <c r="AE100" s="126"/>
      <c r="AF100" s="135" t="str">
        <f t="shared" si="44"/>
        <v>jul</v>
      </c>
      <c r="AG100" s="21"/>
      <c r="AH100" s="21"/>
      <c r="AI100" s="140">
        <f>IF(AI88=AF100,AI99-AH100+AI89,AI99-AH100)</f>
        <v>0</v>
      </c>
    </row>
    <row r="101" spans="1:35" ht="12.75">
      <c r="A101" s="101"/>
      <c r="B101" s="73" t="s">
        <v>38</v>
      </c>
      <c r="C101" s="80"/>
      <c r="D101" s="80"/>
      <c r="E101" s="14">
        <v>270</v>
      </c>
      <c r="F101" s="315">
        <v>277</v>
      </c>
      <c r="G101" s="315"/>
      <c r="H101" s="315"/>
      <c r="I101" s="315"/>
      <c r="J101" s="315"/>
      <c r="K101" s="91"/>
      <c r="L101" s="135" t="str">
        <f>T110</f>
        <v>aug</v>
      </c>
      <c r="M101" s="140" t="str">
        <f>IF(O89=4,O100*N92/100,IF(AND(O87=2,OR(L101="mar",L101="jun",L101="sep",L101="dec")),O100*N92/100,IF(AND(O88=3,OR(L101="jun",L101="dec")),O100*N92/100,IF(AND(O86=1,OR(L101="jan",L101="apr",L101="jul",L101="okt")),O100*N92/100,"0"))))</f>
        <v>0</v>
      </c>
      <c r="N101" s="140" t="str">
        <f>IF(M101="0","0",N91-M101)</f>
        <v>0</v>
      </c>
      <c r="O101" s="141">
        <f t="shared" si="37"/>
        <v>0</v>
      </c>
      <c r="P101" s="91"/>
      <c r="Q101" s="135" t="str">
        <f t="shared" si="38"/>
        <v>aug</v>
      </c>
      <c r="R101" s="153">
        <f>IF(T89=4,T100*S92/100,IF(AND(T87=2,OR(Q101="mar",Q101="jun",Q101="sep",Q101="dec")),T100*S92/100,IF(AND(T88=3,OR(Q101="jun",Q101="dec")),T100*S92/100,IF(AND(T86=1,OR(Q101="jan",Q101="apr",Q101="jul",Q101="okt")),T100*S92/100,"0"))))</f>
        <v>0</v>
      </c>
      <c r="S101" s="140">
        <f>IF(R101="0","0",S91-R101)</f>
        <v>0</v>
      </c>
      <c r="T101" s="141">
        <f t="shared" si="39"/>
        <v>0</v>
      </c>
      <c r="U101" s="146"/>
      <c r="V101" s="65" t="str">
        <f t="shared" si="40"/>
        <v>aug</v>
      </c>
      <c r="W101" s="153">
        <f>IF(Y89=4,Y100*X92/100,IF(AND(Y87=2,OR(V101="mar",V101="jun",V101="sep",V101="dec")),Y100*X92/100,IF(AND(Y88=3,OR(V101="jun",V101="dec")),Y100*X92/100,IF(AND(Y86=1,OR(V101="jan",V101="apr",V101="jul",V101="okt")),Y100*X92/100,"0"))))</f>
        <v>0</v>
      </c>
      <c r="X101" s="153">
        <f>IF(W101="0","0",X91-W101)</f>
        <v>0</v>
      </c>
      <c r="Y101" s="74">
        <f t="shared" si="41"/>
        <v>0</v>
      </c>
      <c r="Z101" s="146"/>
      <c r="AA101" s="135" t="str">
        <f t="shared" si="42"/>
        <v>aug</v>
      </c>
      <c r="AB101" s="140">
        <f>IF(AD89=4,AD100*AC92/100,IF(AND(AD87=2,OR(AA101="mar",AA101="jun",AA101="sep",AA101="dec")),AD100*AC92/100,IF(AND(AD88=3,OR(AA101="jun",AA101="dec")),AD100*AC92/100,IF(AND(AD86=1,OR(AA101="jan",AA101="apr",AA101="jul",AA101="okt")),AD100*AC92/100,"0"))))</f>
        <v>0</v>
      </c>
      <c r="AC101" s="140">
        <f>IF(AB101="0","0",AC91-AB101)</f>
        <v>0</v>
      </c>
      <c r="AD101" s="141">
        <f t="shared" si="43"/>
        <v>0</v>
      </c>
      <c r="AE101" s="126"/>
      <c r="AF101" s="135" t="str">
        <f t="shared" si="44"/>
        <v>aug</v>
      </c>
      <c r="AG101" s="21"/>
      <c r="AH101" s="21"/>
      <c r="AI101" s="140">
        <f>IF(AI88=AF101,AI100-AH101+AI89,AI100-AH101)</f>
        <v>0</v>
      </c>
    </row>
    <row r="102" spans="1:35" ht="12.75">
      <c r="A102" s="101"/>
      <c r="B102" s="73" t="s">
        <v>39</v>
      </c>
      <c r="C102" s="73"/>
      <c r="D102" s="73" t="s">
        <v>13</v>
      </c>
      <c r="E102" s="11"/>
      <c r="F102" s="316"/>
      <c r="G102" s="316"/>
      <c r="H102" s="316"/>
      <c r="I102" s="316"/>
      <c r="J102" s="316"/>
      <c r="K102" s="91"/>
      <c r="L102" s="135" t="str">
        <f>U114</f>
        <v>sep</v>
      </c>
      <c r="M102" s="140">
        <f>IF(O89=4,O101*N92/100,IF(AND(O87=2,OR(L102="mar",L102="jun",L102="sep",L102="dec")),O101*N92/100,IF(AND(O88=3,OR(L102="jun",L102="dec")),O101*N92/100,IF(AND(O86=1,OR(L102="jan",L102="apr",L102="jul",L102="okt")),O101*N92/100,"0"))))</f>
        <v>0</v>
      </c>
      <c r="N102" s="140">
        <f>IF(M102="0","0",N91-M102)</f>
        <v>0</v>
      </c>
      <c r="O102" s="141">
        <f t="shared" si="37"/>
        <v>0</v>
      </c>
      <c r="P102" s="91"/>
      <c r="Q102" s="135" t="str">
        <f t="shared" si="38"/>
        <v>sep</v>
      </c>
      <c r="R102" s="153">
        <f>IF(T89=4,T101*S92/100,IF(AND(T87=2,OR(Q102="mar",Q102="jun",Q102="sep",Q102="dec")),T101*S92/100,IF(AND(T88=3,OR(Q102="jun",Q102="dec")),T101*S92/100,IF(AND(T86=1,OR(Q102="jan",Q102="apr",Q102="jul",Q102="okt")),T101*S92/100,"0"))))</f>
        <v>0</v>
      </c>
      <c r="S102" s="140">
        <f>IF(R102="0","0",S91-R102)</f>
        <v>0</v>
      </c>
      <c r="T102" s="141">
        <f t="shared" si="39"/>
        <v>0</v>
      </c>
      <c r="U102" s="146"/>
      <c r="V102" s="65" t="str">
        <f t="shared" si="40"/>
        <v>sep</v>
      </c>
      <c r="W102" s="153">
        <f>IF(Y89=4,Y101*X92/100,IF(AND(Y87=2,OR(V102="mar",V102="jun",V102="sep",V102="dec")),Y101*X92/100,IF(AND(Y88=3,OR(V102="jun",V102="dec")),Y101*X92/100,IF(AND(Y86=1,OR(V102="jan",V102="apr",V102="jul",V102="okt")),Y101*X92/100,"0"))))</f>
        <v>0</v>
      </c>
      <c r="X102" s="153">
        <f>IF(W102="0","0",X91-W102)</f>
        <v>0</v>
      </c>
      <c r="Y102" s="74">
        <f t="shared" si="41"/>
        <v>0</v>
      </c>
      <c r="Z102" s="146"/>
      <c r="AA102" s="135" t="str">
        <f t="shared" si="42"/>
        <v>sep</v>
      </c>
      <c r="AB102" s="140">
        <f>IF(AD89=4,AD101*AC92/100,IF(AND(AD87=2,OR(AA102="mar",AA102="jun",AA102="sep",AA102="dec")),AD101*AC92/100,IF(AND(AD88=3,OR(AA102="jun",AA102="dec")),AD101*AC92/100,IF(AND(AD86=1,OR(AA102="jan",AA102="apr",AA102="jul",AA102="okt")),AD101*AC92/100,"0"))))</f>
        <v>0</v>
      </c>
      <c r="AC102" s="140">
        <f>IF(AB102="0","0",AC91-AB102)</f>
        <v>0</v>
      </c>
      <c r="AD102" s="141">
        <f t="shared" si="43"/>
        <v>0</v>
      </c>
      <c r="AE102" s="126"/>
      <c r="AF102" s="135" t="str">
        <f t="shared" si="44"/>
        <v>sep</v>
      </c>
      <c r="AG102" s="21"/>
      <c r="AH102" s="21"/>
      <c r="AI102" s="140">
        <f>IF(AI88=AF102,AI101-AH102+AI89,AI101-AH102)</f>
        <v>0</v>
      </c>
    </row>
    <row r="103" spans="1:35" ht="12.75">
      <c r="A103" s="101"/>
      <c r="B103" s="73" t="s">
        <v>40</v>
      </c>
      <c r="C103" s="73"/>
      <c r="D103" s="73" t="s">
        <v>13</v>
      </c>
      <c r="E103" s="11"/>
      <c r="F103" s="316">
        <v>-2</v>
      </c>
      <c r="G103" s="316"/>
      <c r="H103" s="316"/>
      <c r="I103" s="316"/>
      <c r="J103" s="316"/>
      <c r="K103" s="91"/>
      <c r="L103" s="135" t="str">
        <f>V110</f>
        <v>okt</v>
      </c>
      <c r="M103" s="140" t="str">
        <f>IF(O89=4,O102*N92/100,IF(AND(O87=2,OR(L103="mar",L103="jun",L103="sep",L103="dec")),O102*N92/100,IF(AND(O88=3,OR(L103="jun",L103="dec")),O102*N92/100,IF(AND(O86=1,OR(L103="jan",L103="apr",L103="jul",L103="okt")),O102*N92/100,"0"))))</f>
        <v>0</v>
      </c>
      <c r="N103" s="140" t="str">
        <f>IF(M103="0","0",N91-M103)</f>
        <v>0</v>
      </c>
      <c r="O103" s="141">
        <f t="shared" si="37"/>
        <v>0</v>
      </c>
      <c r="P103" s="91"/>
      <c r="Q103" s="135" t="str">
        <f t="shared" si="38"/>
        <v>okt</v>
      </c>
      <c r="R103" s="153">
        <f>IF(T89=4,T102*S92/100,IF(AND(T87=2,OR(Q103="mar",Q103="jun",Q103="sep",Q103="dec")),T102*S92/100,IF(AND(T88=3,OR(Q103="jun",Q103="dec")),T102*S92/100,IF(AND(T86=1,OR(Q103="jan",Q103="apr",Q103="jul",Q103="okt")),T102*S92/100,"0"))))</f>
        <v>0</v>
      </c>
      <c r="S103" s="140">
        <f>IF(R103="0","0",S91-R103)</f>
        <v>0</v>
      </c>
      <c r="T103" s="141">
        <f t="shared" si="39"/>
        <v>0</v>
      </c>
      <c r="U103" s="146"/>
      <c r="V103" s="65" t="str">
        <f t="shared" si="40"/>
        <v>okt</v>
      </c>
      <c r="W103" s="153">
        <f>IF(Y89=4,Y102*X92/100,IF(AND(Y87=2,OR(V103="mar",V103="jun",V103="sep",V103="dec")),Y102*X92/100,IF(AND(Y88=3,OR(V103="jun",V103="dec")),Y102*X92/100,IF(AND(Y86=1,OR(V103="jan",V103="apr",V103="jul",V103="okt")),Y102*X92/100,"0"))))</f>
        <v>0</v>
      </c>
      <c r="X103" s="153">
        <f>IF(W103="0","0",X91-W103)</f>
        <v>0</v>
      </c>
      <c r="Y103" s="74">
        <f t="shared" si="41"/>
        <v>0</v>
      </c>
      <c r="Z103" s="146"/>
      <c r="AA103" s="135" t="str">
        <f t="shared" si="42"/>
        <v>okt</v>
      </c>
      <c r="AB103" s="140">
        <f>IF(AD89=4,AD102*AC92/100,IF(AND(AD87=2,OR(AA103="mar",AA103="jun",AA103="sep",AA103="dec")),AD102*AC92/100,IF(AND(AD88=3,OR(AA103="jun",AA103="dec")),AD102*AC92/100,IF(AND(AD86=1,OR(AA103="jan",AA103="apr",AA103="jul",AA103="okt")),AD102*AC92/100,"0"))))</f>
        <v>0</v>
      </c>
      <c r="AC103" s="140">
        <f>IF(AB103="0","0",AC91-AB103)</f>
        <v>0</v>
      </c>
      <c r="AD103" s="141">
        <f t="shared" si="43"/>
        <v>0</v>
      </c>
      <c r="AE103" s="126"/>
      <c r="AF103" s="135" t="str">
        <f t="shared" si="44"/>
        <v>okt</v>
      </c>
      <c r="AG103" s="21"/>
      <c r="AH103" s="21"/>
      <c r="AI103" s="140">
        <f>IF(AI88=AF103,AI102-AH103+AI89,AI102-AH103)</f>
        <v>0</v>
      </c>
    </row>
    <row r="104" spans="1:35" ht="12.75">
      <c r="A104" s="101"/>
      <c r="B104" s="73" t="s">
        <v>31</v>
      </c>
      <c r="C104" s="73"/>
      <c r="D104" s="73"/>
      <c r="E104" s="11"/>
      <c r="F104" s="316"/>
      <c r="G104" s="316"/>
      <c r="H104" s="316"/>
      <c r="I104" s="316"/>
      <c r="J104" s="316"/>
      <c r="K104" s="91"/>
      <c r="L104" s="135" t="str">
        <f>W110</f>
        <v>nov</v>
      </c>
      <c r="M104" s="140" t="str">
        <f>IF(O89=4,O103*N92/100,IF(AND(O87=2,OR(L104="mar",L104="jun",L104="sep",L104="dec")),O103*N92/100,IF(AND(O88=3,OR(L104="jun",L104="dec")),O103*N92/100,IF(AND(O86=1,OR(L104="jan",L104="apr",L104="jul",L104="okt")),O103*N92/100,"0"))))</f>
        <v>0</v>
      </c>
      <c r="N104" s="140" t="str">
        <f>IF(M104="0","0",N91-M104)</f>
        <v>0</v>
      </c>
      <c r="O104" s="141">
        <f t="shared" si="37"/>
        <v>0</v>
      </c>
      <c r="P104" s="91"/>
      <c r="Q104" s="135" t="str">
        <f t="shared" si="38"/>
        <v>nov</v>
      </c>
      <c r="R104" s="153">
        <f>IF(T89=4,T103*S92/100,IF(AND(T87=2,OR(Q104="mar",Q104="jun",Q104="sep",Q104="dec")),T103*S92/100,IF(AND(T88=3,OR(Q104="jun",Q104="dec")),T103*S92/100,IF(AND(T86=1,OR(Q104="jan",Q104="apr",Q104="jul",Q104="okt")),T103*S92/100,"0"))))</f>
        <v>0</v>
      </c>
      <c r="S104" s="140">
        <f>IF(R104="0","0",S91-R104)</f>
        <v>0</v>
      </c>
      <c r="T104" s="141">
        <f t="shared" si="39"/>
        <v>0</v>
      </c>
      <c r="U104" s="146"/>
      <c r="V104" s="65" t="str">
        <f t="shared" si="40"/>
        <v>nov</v>
      </c>
      <c r="W104" s="153">
        <f>IF(Y89=4,Y103*X92/100,IF(AND(Y87=2,OR(V104="mar",V104="jun",V104="sep",V104="dec")),Y103*X92/100,IF(AND(Y88=3,OR(V104="jun",V104="dec")),Y103*X92/100,IF(AND(Y86=1,OR(V104="jan",V104="apr",V104="jul",V104="okt")),Y103*X92/100,"0"))))</f>
        <v>0</v>
      </c>
      <c r="X104" s="153">
        <f>IF(W104="0","0",X91-W104)</f>
        <v>0</v>
      </c>
      <c r="Y104" s="74">
        <f t="shared" si="41"/>
        <v>0</v>
      </c>
      <c r="Z104" s="146"/>
      <c r="AA104" s="135" t="str">
        <f t="shared" si="42"/>
        <v>nov</v>
      </c>
      <c r="AB104" s="140">
        <f>IF(AD89=4,AD103*AC92/100,IF(AND(AD87=2,OR(AA104="mar",AA104="jun",AA104="sep",AA104="dec")),AD103*AC92/100,IF(AND(AD88=3,OR(AA104="jun",AA104="dec")),AD103*AC92/100,IF(AND(AD86=1,OR(AA104="jan",AA104="apr",AA104="jul",AA104="okt")),AD103*AC92/100,"0"))))</f>
        <v>0</v>
      </c>
      <c r="AC104" s="140">
        <f>IF(AB104="0","0",AC91-AB104)</f>
        <v>0</v>
      </c>
      <c r="AD104" s="141">
        <f t="shared" si="43"/>
        <v>0</v>
      </c>
      <c r="AE104" s="126"/>
      <c r="AF104" s="135" t="str">
        <f t="shared" si="44"/>
        <v>nov</v>
      </c>
      <c r="AG104" s="21"/>
      <c r="AH104" s="21"/>
      <c r="AI104" s="140">
        <f>IF(AI88=AF104,AI103-AH104+AI89,AI103-AH104)</f>
        <v>0</v>
      </c>
    </row>
    <row r="105" spans="1:35" ht="12.75">
      <c r="A105" s="101"/>
      <c r="B105" s="79" t="s">
        <v>46</v>
      </c>
      <c r="C105" s="79"/>
      <c r="D105" s="73"/>
      <c r="E105" s="11"/>
      <c r="F105" s="316"/>
      <c r="G105" s="316"/>
      <c r="H105" s="316"/>
      <c r="I105" s="316"/>
      <c r="J105" s="316"/>
      <c r="K105" s="91"/>
      <c r="L105" s="135" t="str">
        <f>X110</f>
        <v>dec</v>
      </c>
      <c r="M105" s="140">
        <f>IF(O89=4,O104*N92/100,IF(AND(O87=2,OR(L105="mar",L105="jun",L105="sep",L105="dec")),O104*N92/100,IF(AND(O88=3,OR(L105="jun",L105="dec")),O104*N92/100,IF(AND(O86=1,OR(L105="jan",L105="apr",L105="jul",L105="okt")),O104*N92/100,"0"))))</f>
        <v>0</v>
      </c>
      <c r="N105" s="140">
        <f>IF(M105="0","0",N91-M105)</f>
        <v>0</v>
      </c>
      <c r="O105" s="141">
        <f t="shared" si="37"/>
        <v>0</v>
      </c>
      <c r="P105" s="91"/>
      <c r="Q105" s="135" t="str">
        <f t="shared" si="38"/>
        <v>dec</v>
      </c>
      <c r="R105" s="153">
        <f>IF(T89=4,T104*S92/100,IF(AND(T87=2,OR(Q105="mar",Q105="jun",Q105="sep",Q105="dec")),T104*S92/100,IF(AND(T88=3,OR(Q105="jun",Q105="dec")),T104*S92/100,IF(AND(T86=1,OR(Q105="jan",Q105="apr",Q105="jul",Q105="okt")),T104*S92/100,"0"))))</f>
        <v>0</v>
      </c>
      <c r="S105" s="140">
        <f>IF(R105="0","0",S91-R105)</f>
        <v>0</v>
      </c>
      <c r="T105" s="141">
        <f t="shared" si="39"/>
        <v>0</v>
      </c>
      <c r="U105" s="146"/>
      <c r="V105" s="65" t="str">
        <f t="shared" si="40"/>
        <v>dec</v>
      </c>
      <c r="W105" s="153">
        <f>IF(Y89=4,Y104*X92/100,IF(AND(Y87=2,OR(V105="mar",V105="jun",V105="sep",V105="dec")),Y104*X92/100,IF(AND(Y88=3,OR(V105="jun",V105="dec")),Y104*X92/100,IF(AND(Y86=1,OR(V105="jan",V105="apr",V105="jul",V105="okt")),Y104*X92/100,"0"))))</f>
        <v>0</v>
      </c>
      <c r="X105" s="153">
        <f>IF(W105="0","0",X91-W105)</f>
        <v>0</v>
      </c>
      <c r="Y105" s="74">
        <f t="shared" si="41"/>
        <v>0</v>
      </c>
      <c r="Z105" s="146"/>
      <c r="AA105" s="135" t="str">
        <f t="shared" si="42"/>
        <v>dec</v>
      </c>
      <c r="AB105" s="140">
        <f>IF(AD89=4,AD104*AC92/100,IF(AND(AD87=2,OR(AA105="mar",AA105="jun",AA105="sep",AA105="dec")),AD104*AC92/100,IF(AND(AD88=3,OR(AA105="jun",AA105="dec")),AD104*AC92/100,IF(AND(AD86=1,OR(AA105="jan",AA105="apr",AA105="jul",AA105="okt")),AD104*AC92/100,"0"))))</f>
        <v>0</v>
      </c>
      <c r="AC105" s="140">
        <f>IF(AB105="0","0",AC91-AB105)</f>
        <v>0</v>
      </c>
      <c r="AD105" s="141">
        <f t="shared" si="43"/>
        <v>0</v>
      </c>
      <c r="AE105" s="126"/>
      <c r="AF105" s="135" t="str">
        <f t="shared" si="44"/>
        <v>dec</v>
      </c>
      <c r="AG105" s="21"/>
      <c r="AH105" s="21"/>
      <c r="AI105" s="140">
        <f>IF(AI88=AF105,AI104-AH105+AI89,AI104-AH105)</f>
        <v>0</v>
      </c>
    </row>
    <row r="106" spans="1:35" ht="12.75">
      <c r="A106" s="101"/>
      <c r="B106" s="76" t="s">
        <v>42</v>
      </c>
      <c r="C106" s="78"/>
      <c r="D106" s="78" t="s">
        <v>13</v>
      </c>
      <c r="E106" s="11"/>
      <c r="F106" s="316"/>
      <c r="G106" s="316"/>
      <c r="H106" s="316"/>
      <c r="I106" s="316"/>
      <c r="J106" s="316"/>
      <c r="K106" s="91"/>
      <c r="L106" s="73"/>
      <c r="M106" s="142">
        <f>SUM(M94:M105)</f>
        <v>0</v>
      </c>
      <c r="N106" s="142">
        <f>SUM(N94:N105)</f>
        <v>0</v>
      </c>
      <c r="O106" s="73"/>
      <c r="P106" s="91"/>
      <c r="Q106" s="73"/>
      <c r="R106" s="142">
        <f>SUM(R94:R105)</f>
        <v>0</v>
      </c>
      <c r="S106" s="142">
        <f>SUM(S94:S105)</f>
        <v>0</v>
      </c>
      <c r="T106" s="73"/>
      <c r="U106" s="146"/>
      <c r="V106" s="73"/>
      <c r="W106" s="142">
        <f>SUM(W94:W105)</f>
        <v>0</v>
      </c>
      <c r="X106" s="142">
        <f>SUM(X94:X105)</f>
        <v>0</v>
      </c>
      <c r="Y106" s="73"/>
      <c r="Z106" s="91"/>
      <c r="AA106" s="73"/>
      <c r="AB106" s="142">
        <f>SUM(AB94:AB105)</f>
        <v>0</v>
      </c>
      <c r="AC106" s="142">
        <f>SUM(AC94:AC105)</f>
        <v>0</v>
      </c>
      <c r="AD106" s="73"/>
      <c r="AE106" s="91"/>
      <c r="AF106" s="73"/>
      <c r="AG106" s="142">
        <f>SUM(AG94:AG105)</f>
        <v>0</v>
      </c>
      <c r="AH106" s="142">
        <f>SUM(AH94:AH105)</f>
        <v>0</v>
      </c>
      <c r="AI106" s="73"/>
    </row>
    <row r="107" spans="1:35" ht="12.75">
      <c r="A107" s="211" t="s">
        <v>223</v>
      </c>
      <c r="B107" s="163" t="s">
        <v>43</v>
      </c>
      <c r="C107" s="163"/>
      <c r="D107" s="79" t="s">
        <v>13</v>
      </c>
      <c r="E107" s="11">
        <v>-16</v>
      </c>
      <c r="F107" s="316">
        <v>-18</v>
      </c>
      <c r="G107" s="316"/>
      <c r="H107" s="316"/>
      <c r="I107" s="316"/>
      <c r="J107" s="316"/>
      <c r="K107" s="91"/>
      <c r="L107" s="91"/>
      <c r="M107" s="91"/>
      <c r="N107" s="91"/>
      <c r="O107" s="91"/>
      <c r="P107" s="91"/>
      <c r="Q107" s="91"/>
      <c r="R107" s="91"/>
      <c r="S107" s="91"/>
      <c r="T107" s="91"/>
      <c r="U107" s="146"/>
      <c r="V107" s="91"/>
      <c r="W107" s="91"/>
      <c r="X107" s="91"/>
      <c r="Y107" s="91"/>
      <c r="Z107" s="91"/>
      <c r="AA107" s="91"/>
      <c r="AB107" s="91"/>
      <c r="AC107" s="91"/>
      <c r="AD107" s="91"/>
      <c r="AE107" s="91"/>
      <c r="AF107" s="91"/>
      <c r="AG107" s="91"/>
      <c r="AH107" s="91"/>
      <c r="AI107" s="91"/>
    </row>
    <row r="108" spans="1:35" ht="12.75">
      <c r="A108" s="101"/>
      <c r="B108" s="81" t="s">
        <v>44</v>
      </c>
      <c r="C108" s="77"/>
      <c r="D108" s="78"/>
      <c r="E108" s="164">
        <f aca="true" t="shared" si="46" ref="E108:J108">SUM(E101:E107)</f>
        <v>254</v>
      </c>
      <c r="F108" s="134">
        <f t="shared" si="46"/>
        <v>257</v>
      </c>
      <c r="G108" s="134">
        <f t="shared" si="46"/>
        <v>0</v>
      </c>
      <c r="H108" s="134">
        <f t="shared" si="46"/>
        <v>0</v>
      </c>
      <c r="I108" s="134">
        <f t="shared" si="46"/>
        <v>0</v>
      </c>
      <c r="J108" s="134">
        <f t="shared" si="46"/>
        <v>0</v>
      </c>
      <c r="K108" s="91"/>
      <c r="L108" s="101"/>
      <c r="M108" s="101"/>
      <c r="N108" s="101"/>
      <c r="O108" s="101"/>
      <c r="P108" s="101"/>
      <c r="Q108" s="91"/>
      <c r="R108" s="91"/>
      <c r="S108" s="91"/>
      <c r="T108" s="91"/>
      <c r="U108" s="146"/>
      <c r="V108" s="91"/>
      <c r="W108" s="91"/>
      <c r="X108" s="91"/>
      <c r="Y108" s="91"/>
      <c r="Z108" s="91"/>
      <c r="AA108" s="91"/>
      <c r="AB108" s="91"/>
      <c r="AC108" s="91"/>
      <c r="AD108" s="91"/>
      <c r="AE108" s="214" t="s">
        <v>208</v>
      </c>
      <c r="AF108" s="91"/>
      <c r="AG108" s="91"/>
      <c r="AH108" s="91"/>
      <c r="AI108" s="91"/>
    </row>
    <row r="109" spans="1:29" ht="12.75">
      <c r="A109" s="101"/>
      <c r="B109" s="101"/>
      <c r="C109" s="101"/>
      <c r="D109" s="101"/>
      <c r="E109" s="126"/>
      <c r="F109" s="126"/>
      <c r="G109" s="126"/>
      <c r="H109" s="126"/>
      <c r="I109" s="126"/>
      <c r="J109" s="126"/>
      <c r="K109" s="91"/>
      <c r="L109" s="101"/>
      <c r="M109" s="349"/>
      <c r="N109" s="349"/>
      <c r="O109" s="349"/>
      <c r="P109" s="349"/>
      <c r="Q109" s="349"/>
      <c r="R109" s="349"/>
      <c r="S109" s="349"/>
      <c r="T109" s="349"/>
      <c r="U109" s="193"/>
      <c r="V109" s="193"/>
      <c r="W109" s="193"/>
      <c r="X109" s="193"/>
      <c r="Y109" s="193"/>
      <c r="Z109" s="193"/>
      <c r="AA109" s="193"/>
      <c r="AB109" s="193"/>
      <c r="AC109" s="193"/>
    </row>
    <row r="110" spans="1:29" ht="12.75">
      <c r="A110" s="101"/>
      <c r="B110" s="81" t="s">
        <v>47</v>
      </c>
      <c r="C110" s="77"/>
      <c r="D110" s="78"/>
      <c r="E110" s="20"/>
      <c r="F110" s="316">
        <v>11</v>
      </c>
      <c r="G110" s="316"/>
      <c r="H110" s="316"/>
      <c r="I110" s="316"/>
      <c r="J110" s="316"/>
      <c r="K110" s="91"/>
      <c r="L110" s="91"/>
      <c r="M110" s="429" t="s">
        <v>262</v>
      </c>
      <c r="N110" s="430" t="str">
        <f aca="true" t="shared" si="47" ref="N110:N121">IF($E$28=M110,M111,N111)</f>
        <v>feb</v>
      </c>
      <c r="O110" s="430" t="str">
        <f>IF($E$28=M110,M112,O111)</f>
        <v>mar</v>
      </c>
      <c r="P110" s="431" t="str">
        <f aca="true" t="shared" si="48" ref="P110:P121">IF($E$28=M110,M113,P111)</f>
        <v>apr</v>
      </c>
      <c r="Q110" s="431" t="str">
        <f aca="true" t="shared" si="49" ref="Q110:Q121">IF($E$28=M110,M114,Q111)</f>
        <v>maj</v>
      </c>
      <c r="R110" s="431" t="str">
        <f aca="true" t="shared" si="50" ref="R110:R121">IF($E$28=M110,M115,R111)</f>
        <v>jun</v>
      </c>
      <c r="S110" s="431" t="str">
        <f aca="true" t="shared" si="51" ref="S110:S121">IF($E$28=M110,M116,S111)</f>
        <v>jul</v>
      </c>
      <c r="T110" s="431" t="str">
        <f aca="true" t="shared" si="52" ref="T110:T121">IF($E$28=M110,M117,T111)</f>
        <v>aug</v>
      </c>
      <c r="U110" s="432"/>
      <c r="V110" s="432" t="str">
        <f aca="true" t="shared" si="53" ref="V110:V121">IF($E$28=M110,M119,V111)</f>
        <v>okt</v>
      </c>
      <c r="W110" s="432" t="str">
        <f aca="true" t="shared" si="54" ref="W110:W121">IF($E$28=M110,M120,W111)</f>
        <v>nov</v>
      </c>
      <c r="X110" s="432" t="str">
        <f aca="true" t="shared" si="55" ref="X110:X121">IF($E$28=M110,M121,X111)</f>
        <v>dec</v>
      </c>
      <c r="Y110" s="432" t="str">
        <f aca="true" t="shared" si="56" ref="Y110:Y121">IF($E$28=M110,M122,Y111)</f>
        <v>jan</v>
      </c>
      <c r="Z110" s="432" t="str">
        <f aca="true" t="shared" si="57" ref="Z110:Z121">IF($E$28=M110,M123,Z111)</f>
        <v>feb</v>
      </c>
      <c r="AA110" s="432" t="str">
        <f aca="true" t="shared" si="58" ref="AA110:AA121">IF($E$28=M110,M124,AA111)</f>
        <v>mar</v>
      </c>
      <c r="AB110" s="433"/>
      <c r="AC110" s="432"/>
    </row>
    <row r="111" spans="1:29" ht="12.75">
      <c r="A111" s="100">
        <v>8</v>
      </c>
      <c r="B111" s="101"/>
      <c r="C111" s="101"/>
      <c r="D111" s="101"/>
      <c r="E111" s="126"/>
      <c r="F111" s="126"/>
      <c r="G111" s="126"/>
      <c r="H111" s="126"/>
      <c r="I111" s="149"/>
      <c r="J111" s="126"/>
      <c r="K111" s="91"/>
      <c r="L111" s="349"/>
      <c r="M111" s="429" t="s">
        <v>180</v>
      </c>
      <c r="N111" s="430">
        <f t="shared" si="47"/>
        <v>0</v>
      </c>
      <c r="O111" s="430">
        <f>IF($E$28=M111,M113,O112)</f>
        <v>0</v>
      </c>
      <c r="P111" s="431">
        <f t="shared" si="48"/>
        <v>0</v>
      </c>
      <c r="Q111" s="431">
        <f t="shared" si="49"/>
        <v>0</v>
      </c>
      <c r="R111" s="431">
        <f t="shared" si="50"/>
        <v>0</v>
      </c>
      <c r="S111" s="431">
        <f t="shared" si="51"/>
        <v>0</v>
      </c>
      <c r="T111" s="431">
        <f t="shared" si="52"/>
        <v>0</v>
      </c>
      <c r="U111" s="432"/>
      <c r="V111" s="432">
        <f t="shared" si="53"/>
        <v>0</v>
      </c>
      <c r="W111" s="432">
        <f t="shared" si="54"/>
        <v>0</v>
      </c>
      <c r="X111" s="432">
        <f t="shared" si="55"/>
        <v>0</v>
      </c>
      <c r="Y111" s="432">
        <f t="shared" si="56"/>
        <v>0</v>
      </c>
      <c r="Z111" s="432">
        <f t="shared" si="57"/>
        <v>0</v>
      </c>
      <c r="AA111" s="432">
        <f t="shared" si="58"/>
        <v>0</v>
      </c>
      <c r="AB111" s="434"/>
      <c r="AC111" s="432"/>
    </row>
    <row r="112" spans="1:29" ht="12.75">
      <c r="A112" s="101"/>
      <c r="B112" s="47" t="s">
        <v>48</v>
      </c>
      <c r="C112" s="107"/>
      <c r="D112" s="59"/>
      <c r="E112" s="167"/>
      <c r="F112" s="168"/>
      <c r="G112" s="168"/>
      <c r="H112" s="168"/>
      <c r="I112" s="168"/>
      <c r="J112" s="169"/>
      <c r="K112" s="91"/>
      <c r="L112" s="358"/>
      <c r="M112" s="429" t="s">
        <v>75</v>
      </c>
      <c r="N112" s="430">
        <f t="shared" si="47"/>
        <v>0</v>
      </c>
      <c r="O112" s="430">
        <f>IF($E$28=M112,M114,O113)</f>
        <v>0</v>
      </c>
      <c r="P112" s="431">
        <f t="shared" si="48"/>
        <v>0</v>
      </c>
      <c r="Q112" s="431">
        <f t="shared" si="49"/>
        <v>0</v>
      </c>
      <c r="R112" s="431">
        <f t="shared" si="50"/>
        <v>0</v>
      </c>
      <c r="S112" s="431">
        <f t="shared" si="51"/>
        <v>0</v>
      </c>
      <c r="T112" s="431">
        <f t="shared" si="52"/>
        <v>0</v>
      </c>
      <c r="U112" s="432"/>
      <c r="V112" s="432">
        <f t="shared" si="53"/>
        <v>0</v>
      </c>
      <c r="W112" s="432">
        <f t="shared" si="54"/>
        <v>0</v>
      </c>
      <c r="X112" s="432">
        <f t="shared" si="55"/>
        <v>0</v>
      </c>
      <c r="Y112" s="432">
        <f t="shared" si="56"/>
        <v>0</v>
      </c>
      <c r="Z112" s="432">
        <f t="shared" si="57"/>
        <v>0</v>
      </c>
      <c r="AA112" s="432">
        <f t="shared" si="58"/>
        <v>0</v>
      </c>
      <c r="AB112" s="435"/>
      <c r="AC112" s="432"/>
    </row>
    <row r="113" spans="1:29" ht="12.75">
      <c r="A113" s="101"/>
      <c r="B113" s="104" t="s">
        <v>48</v>
      </c>
      <c r="C113" s="77"/>
      <c r="D113" s="78"/>
      <c r="E113" s="445">
        <v>225</v>
      </c>
      <c r="F113" s="315">
        <v>276</v>
      </c>
      <c r="G113" s="315"/>
      <c r="H113" s="315"/>
      <c r="I113" s="315"/>
      <c r="J113" s="315"/>
      <c r="K113" s="91"/>
      <c r="L113" s="358"/>
      <c r="M113" s="429" t="s">
        <v>76</v>
      </c>
      <c r="N113" s="430">
        <f t="shared" si="47"/>
        <v>0</v>
      </c>
      <c r="O113" s="430">
        <f>IF($E$28=M113,M115,O114)</f>
        <v>0</v>
      </c>
      <c r="P113" s="431">
        <f t="shared" si="48"/>
        <v>0</v>
      </c>
      <c r="Q113" s="431">
        <f t="shared" si="49"/>
        <v>0</v>
      </c>
      <c r="R113" s="431">
        <f t="shared" si="50"/>
        <v>0</v>
      </c>
      <c r="S113" s="431">
        <f t="shared" si="51"/>
        <v>0</v>
      </c>
      <c r="T113" s="431">
        <f t="shared" si="52"/>
        <v>0</v>
      </c>
      <c r="U113" s="432"/>
      <c r="V113" s="432">
        <f t="shared" si="53"/>
        <v>0</v>
      </c>
      <c r="W113" s="432">
        <f t="shared" si="54"/>
        <v>0</v>
      </c>
      <c r="X113" s="432">
        <f t="shared" si="55"/>
        <v>0</v>
      </c>
      <c r="Y113" s="432">
        <f t="shared" si="56"/>
        <v>0</v>
      </c>
      <c r="Z113" s="432">
        <f t="shared" si="57"/>
        <v>0</v>
      </c>
      <c r="AA113" s="432">
        <f t="shared" si="58"/>
        <v>0</v>
      </c>
      <c r="AB113" s="436"/>
      <c r="AC113" s="432"/>
    </row>
    <row r="114" spans="1:29" ht="12.75">
      <c r="A114" s="101"/>
      <c r="B114" s="104" t="s">
        <v>211</v>
      </c>
      <c r="C114" s="77"/>
      <c r="D114" s="78"/>
      <c r="E114" s="445"/>
      <c r="F114" s="315"/>
      <c r="G114" s="315"/>
      <c r="H114" s="315"/>
      <c r="I114" s="315"/>
      <c r="J114" s="315"/>
      <c r="K114" s="91"/>
      <c r="L114" s="358"/>
      <c r="M114" s="429" t="s">
        <v>77</v>
      </c>
      <c r="N114" s="430">
        <f t="shared" si="47"/>
        <v>0</v>
      </c>
      <c r="O114" s="430">
        <f>IF($E$28=M114,M116,O115)</f>
        <v>0</v>
      </c>
      <c r="P114" s="431">
        <f t="shared" si="48"/>
        <v>0</v>
      </c>
      <c r="Q114" s="431">
        <f t="shared" si="49"/>
        <v>0</v>
      </c>
      <c r="R114" s="431">
        <f t="shared" si="50"/>
        <v>0</v>
      </c>
      <c r="S114" s="431">
        <f t="shared" si="51"/>
        <v>0</v>
      </c>
      <c r="T114" s="431">
        <f t="shared" si="52"/>
        <v>0</v>
      </c>
      <c r="U114" s="432" t="str">
        <f aca="true" t="shared" si="59" ref="U114:U120">IF($E$28=M110,M118,U115)</f>
        <v>sep</v>
      </c>
      <c r="V114" s="432">
        <f t="shared" si="53"/>
        <v>0</v>
      </c>
      <c r="W114" s="432">
        <f t="shared" si="54"/>
        <v>0</v>
      </c>
      <c r="X114" s="432">
        <f t="shared" si="55"/>
        <v>0</v>
      </c>
      <c r="Y114" s="432">
        <f t="shared" si="56"/>
        <v>0</v>
      </c>
      <c r="Z114" s="432">
        <f t="shared" si="57"/>
        <v>0</v>
      </c>
      <c r="AA114" s="432">
        <f t="shared" si="58"/>
        <v>0</v>
      </c>
      <c r="AB114" s="437"/>
      <c r="AC114" s="432"/>
    </row>
    <row r="115" spans="1:29" ht="12.75">
      <c r="A115" s="100"/>
      <c r="B115" s="104" t="s">
        <v>49</v>
      </c>
      <c r="C115" s="77"/>
      <c r="D115" s="78"/>
      <c r="E115" s="386">
        <v>20</v>
      </c>
      <c r="F115" s="316">
        <v>1</v>
      </c>
      <c r="G115" s="316"/>
      <c r="H115" s="316"/>
      <c r="I115" s="316"/>
      <c r="J115" s="316"/>
      <c r="K115" s="91"/>
      <c r="L115" s="358"/>
      <c r="M115" s="429" t="s">
        <v>78</v>
      </c>
      <c r="N115" s="430">
        <f t="shared" si="47"/>
        <v>0</v>
      </c>
      <c r="O115" s="430">
        <f>IF($D$201=M115,M117,O116)</f>
        <v>0</v>
      </c>
      <c r="P115" s="431">
        <f t="shared" si="48"/>
        <v>0</v>
      </c>
      <c r="Q115" s="431">
        <f t="shared" si="49"/>
        <v>0</v>
      </c>
      <c r="R115" s="431">
        <f t="shared" si="50"/>
        <v>0</v>
      </c>
      <c r="S115" s="431">
        <f t="shared" si="51"/>
        <v>0</v>
      </c>
      <c r="T115" s="431">
        <f t="shared" si="52"/>
        <v>0</v>
      </c>
      <c r="U115" s="432">
        <f t="shared" si="59"/>
        <v>0</v>
      </c>
      <c r="V115" s="432">
        <f t="shared" si="53"/>
        <v>0</v>
      </c>
      <c r="W115" s="432">
        <f t="shared" si="54"/>
        <v>0</v>
      </c>
      <c r="X115" s="432">
        <f t="shared" si="55"/>
        <v>0</v>
      </c>
      <c r="Y115" s="432">
        <f t="shared" si="56"/>
        <v>0</v>
      </c>
      <c r="Z115" s="432">
        <f t="shared" si="57"/>
        <v>0</v>
      </c>
      <c r="AA115" s="432">
        <f t="shared" si="58"/>
        <v>0</v>
      </c>
      <c r="AB115" s="437"/>
      <c r="AC115" s="432"/>
    </row>
    <row r="116" spans="1:29" ht="12.75">
      <c r="A116" s="101"/>
      <c r="B116" s="47" t="s">
        <v>50</v>
      </c>
      <c r="C116" s="107"/>
      <c r="D116" s="59"/>
      <c r="E116" s="164">
        <f aca="true" t="shared" si="60" ref="E116:J116">SUM(E113:E115)</f>
        <v>245</v>
      </c>
      <c r="F116" s="134">
        <f t="shared" si="60"/>
        <v>277</v>
      </c>
      <c r="G116" s="134">
        <f t="shared" si="60"/>
        <v>0</v>
      </c>
      <c r="H116" s="134">
        <f t="shared" si="60"/>
        <v>0</v>
      </c>
      <c r="I116" s="134">
        <f t="shared" si="60"/>
        <v>0</v>
      </c>
      <c r="J116" s="134">
        <f t="shared" si="60"/>
        <v>0</v>
      </c>
      <c r="K116" s="91"/>
      <c r="L116" s="358"/>
      <c r="M116" s="429" t="s">
        <v>79</v>
      </c>
      <c r="N116" s="431">
        <f t="shared" si="47"/>
        <v>0</v>
      </c>
      <c r="O116" s="430">
        <f aca="true" t="shared" si="61" ref="O116:O121">IF($E$28=M116,M118,O117)</f>
        <v>0</v>
      </c>
      <c r="P116" s="431">
        <f t="shared" si="48"/>
        <v>0</v>
      </c>
      <c r="Q116" s="431">
        <f t="shared" si="49"/>
        <v>0</v>
      </c>
      <c r="R116" s="431">
        <f t="shared" si="50"/>
        <v>0</v>
      </c>
      <c r="S116" s="431">
        <f t="shared" si="51"/>
        <v>0</v>
      </c>
      <c r="T116" s="431">
        <f t="shared" si="52"/>
        <v>0</v>
      </c>
      <c r="U116" s="432">
        <f t="shared" si="59"/>
        <v>0</v>
      </c>
      <c r="V116" s="432">
        <f t="shared" si="53"/>
        <v>0</v>
      </c>
      <c r="W116" s="432">
        <f t="shared" si="54"/>
        <v>0</v>
      </c>
      <c r="X116" s="432">
        <f t="shared" si="55"/>
        <v>0</v>
      </c>
      <c r="Y116" s="432">
        <f t="shared" si="56"/>
        <v>0</v>
      </c>
      <c r="Z116" s="432">
        <f t="shared" si="57"/>
        <v>0</v>
      </c>
      <c r="AA116" s="432">
        <f t="shared" si="58"/>
        <v>0</v>
      </c>
      <c r="AB116" s="437"/>
      <c r="AC116" s="432"/>
    </row>
    <row r="117" spans="1:29" ht="12.75">
      <c r="A117" s="101"/>
      <c r="B117" s="104" t="s">
        <v>195</v>
      </c>
      <c r="C117" s="77"/>
      <c r="D117" s="78"/>
      <c r="E117" s="13">
        <v>50</v>
      </c>
      <c r="F117" s="316">
        <v>32</v>
      </c>
      <c r="G117" s="316"/>
      <c r="H117" s="316"/>
      <c r="I117" s="316"/>
      <c r="J117" s="316"/>
      <c r="K117" s="91"/>
      <c r="L117" s="358"/>
      <c r="M117" s="429" t="s">
        <v>80</v>
      </c>
      <c r="N117" s="431">
        <f t="shared" si="47"/>
        <v>0</v>
      </c>
      <c r="O117" s="431">
        <f t="shared" si="61"/>
        <v>0</v>
      </c>
      <c r="P117" s="431">
        <f t="shared" si="48"/>
        <v>0</v>
      </c>
      <c r="Q117" s="431">
        <f t="shared" si="49"/>
        <v>0</v>
      </c>
      <c r="R117" s="431">
        <f t="shared" si="50"/>
        <v>0</v>
      </c>
      <c r="S117" s="431">
        <f t="shared" si="51"/>
        <v>0</v>
      </c>
      <c r="T117" s="431">
        <f t="shared" si="52"/>
        <v>0</v>
      </c>
      <c r="U117" s="432">
        <f t="shared" si="59"/>
        <v>0</v>
      </c>
      <c r="V117" s="432">
        <f t="shared" si="53"/>
        <v>0</v>
      </c>
      <c r="W117" s="432">
        <f t="shared" si="54"/>
        <v>0</v>
      </c>
      <c r="X117" s="432">
        <f t="shared" si="55"/>
        <v>0</v>
      </c>
      <c r="Y117" s="432">
        <f t="shared" si="56"/>
        <v>0</v>
      </c>
      <c r="Z117" s="432">
        <f t="shared" si="57"/>
        <v>0</v>
      </c>
      <c r="AA117" s="432">
        <f t="shared" si="58"/>
        <v>0</v>
      </c>
      <c r="AB117" s="437"/>
      <c r="AC117" s="432"/>
    </row>
    <row r="118" spans="1:29" ht="12.75">
      <c r="A118" s="100">
        <v>9</v>
      </c>
      <c r="B118" s="104" t="s">
        <v>52</v>
      </c>
      <c r="C118" s="77"/>
      <c r="D118" s="78"/>
      <c r="E118" s="187">
        <f>(E174+F174-E117)</f>
        <v>85.36697842451628</v>
      </c>
      <c r="F118" s="316"/>
      <c r="G118" s="316"/>
      <c r="H118" s="316"/>
      <c r="I118" s="316"/>
      <c r="J118" s="316"/>
      <c r="K118" s="91"/>
      <c r="L118" s="358"/>
      <c r="M118" s="429" t="s">
        <v>81</v>
      </c>
      <c r="N118" s="431">
        <f t="shared" si="47"/>
        <v>0</v>
      </c>
      <c r="O118" s="431">
        <f t="shared" si="61"/>
        <v>0</v>
      </c>
      <c r="P118" s="431">
        <f t="shared" si="48"/>
        <v>0</v>
      </c>
      <c r="Q118" s="431">
        <f t="shared" si="49"/>
        <v>0</v>
      </c>
      <c r="R118" s="431">
        <f t="shared" si="50"/>
        <v>0</v>
      </c>
      <c r="S118" s="431">
        <f t="shared" si="51"/>
        <v>0</v>
      </c>
      <c r="T118" s="431">
        <f t="shared" si="52"/>
        <v>0</v>
      </c>
      <c r="U118" s="432">
        <f t="shared" si="59"/>
        <v>0</v>
      </c>
      <c r="V118" s="432">
        <f t="shared" si="53"/>
        <v>0</v>
      </c>
      <c r="W118" s="432">
        <f t="shared" si="54"/>
        <v>0</v>
      </c>
      <c r="X118" s="432">
        <f t="shared" si="55"/>
        <v>0</v>
      </c>
      <c r="Y118" s="432">
        <f t="shared" si="56"/>
        <v>0</v>
      </c>
      <c r="Z118" s="432">
        <f t="shared" si="57"/>
        <v>0</v>
      </c>
      <c r="AA118" s="432">
        <f t="shared" si="58"/>
        <v>0</v>
      </c>
      <c r="AB118" s="437"/>
      <c r="AC118" s="432"/>
    </row>
    <row r="119" spans="1:29" ht="12.75">
      <c r="A119" s="101"/>
      <c r="B119" s="81" t="s">
        <v>53</v>
      </c>
      <c r="C119" s="77"/>
      <c r="D119" s="78"/>
      <c r="E119" s="134">
        <f aca="true" t="shared" si="62" ref="E119:J119">SUM(E117:E118)</f>
        <v>135.36697842451628</v>
      </c>
      <c r="F119" s="134">
        <f t="shared" si="62"/>
        <v>32</v>
      </c>
      <c r="G119" s="134">
        <f t="shared" si="62"/>
        <v>0</v>
      </c>
      <c r="H119" s="134">
        <f t="shared" si="62"/>
        <v>0</v>
      </c>
      <c r="I119" s="134">
        <f t="shared" si="62"/>
        <v>0</v>
      </c>
      <c r="J119" s="134">
        <f t="shared" si="62"/>
        <v>0</v>
      </c>
      <c r="K119" s="91"/>
      <c r="L119" s="358"/>
      <c r="M119" s="429" t="s">
        <v>82</v>
      </c>
      <c r="N119" s="431">
        <f t="shared" si="47"/>
        <v>0</v>
      </c>
      <c r="O119" s="431">
        <f t="shared" si="61"/>
        <v>0</v>
      </c>
      <c r="P119" s="431">
        <f t="shared" si="48"/>
        <v>0</v>
      </c>
      <c r="Q119" s="431">
        <f t="shared" si="49"/>
        <v>0</v>
      </c>
      <c r="R119" s="431">
        <f t="shared" si="50"/>
        <v>0</v>
      </c>
      <c r="S119" s="431">
        <f t="shared" si="51"/>
        <v>0</v>
      </c>
      <c r="T119" s="431">
        <f t="shared" si="52"/>
        <v>0</v>
      </c>
      <c r="U119" s="432">
        <f t="shared" si="59"/>
        <v>0</v>
      </c>
      <c r="V119" s="432">
        <f t="shared" si="53"/>
        <v>0</v>
      </c>
      <c r="W119" s="432">
        <f t="shared" si="54"/>
        <v>0</v>
      </c>
      <c r="X119" s="432">
        <f t="shared" si="55"/>
        <v>0</v>
      </c>
      <c r="Y119" s="432">
        <f t="shared" si="56"/>
        <v>0</v>
      </c>
      <c r="Z119" s="432">
        <f t="shared" si="57"/>
        <v>0</v>
      </c>
      <c r="AA119" s="432">
        <f t="shared" si="58"/>
        <v>0</v>
      </c>
      <c r="AB119" s="438"/>
      <c r="AC119" s="432"/>
    </row>
    <row r="120" spans="1:29" ht="12.75">
      <c r="A120" s="101"/>
      <c r="B120" s="464" t="s">
        <v>346</v>
      </c>
      <c r="C120" s="101"/>
      <c r="D120" s="99"/>
      <c r="E120" s="170"/>
      <c r="F120" s="170"/>
      <c r="G120" s="170"/>
      <c r="H120" s="170"/>
      <c r="I120" s="170"/>
      <c r="J120" s="170"/>
      <c r="K120" s="91"/>
      <c r="L120" s="358"/>
      <c r="M120" s="429" t="s">
        <v>83</v>
      </c>
      <c r="N120" s="431">
        <f t="shared" si="47"/>
        <v>0</v>
      </c>
      <c r="O120" s="431">
        <f t="shared" si="61"/>
        <v>0</v>
      </c>
      <c r="P120" s="431">
        <f t="shared" si="48"/>
        <v>0</v>
      </c>
      <c r="Q120" s="431">
        <f t="shared" si="49"/>
        <v>0</v>
      </c>
      <c r="R120" s="431">
        <f t="shared" si="50"/>
        <v>0</v>
      </c>
      <c r="S120" s="431">
        <f t="shared" si="51"/>
        <v>0</v>
      </c>
      <c r="T120" s="431">
        <f t="shared" si="52"/>
        <v>0</v>
      </c>
      <c r="U120" s="432">
        <f t="shared" si="59"/>
        <v>0</v>
      </c>
      <c r="V120" s="432">
        <f t="shared" si="53"/>
        <v>0</v>
      </c>
      <c r="W120" s="432">
        <f t="shared" si="54"/>
        <v>0</v>
      </c>
      <c r="X120" s="432">
        <f t="shared" si="55"/>
        <v>0</v>
      </c>
      <c r="Y120" s="432">
        <f t="shared" si="56"/>
        <v>0</v>
      </c>
      <c r="Z120" s="432">
        <f t="shared" si="57"/>
        <v>0</v>
      </c>
      <c r="AA120" s="432">
        <f t="shared" si="58"/>
        <v>0</v>
      </c>
      <c r="AB120" s="435"/>
      <c r="AC120" s="432"/>
    </row>
    <row r="121" spans="1:29" ht="12.75">
      <c r="A121" s="100"/>
      <c r="B121" s="81" t="s">
        <v>54</v>
      </c>
      <c r="C121" s="77"/>
      <c r="D121" s="171"/>
      <c r="E121" s="375">
        <f>E22</f>
        <v>2011</v>
      </c>
      <c r="F121" s="173" t="s">
        <v>55</v>
      </c>
      <c r="G121" s="173" t="s">
        <v>56</v>
      </c>
      <c r="H121" s="173" t="s">
        <v>250</v>
      </c>
      <c r="I121" s="172" t="s">
        <v>57</v>
      </c>
      <c r="J121" s="172" t="s">
        <v>58</v>
      </c>
      <c r="K121" s="91"/>
      <c r="L121" s="358"/>
      <c r="M121" s="429" t="s">
        <v>84</v>
      </c>
      <c r="N121" s="431">
        <f t="shared" si="47"/>
        <v>0</v>
      </c>
      <c r="O121" s="431">
        <f t="shared" si="61"/>
        <v>0</v>
      </c>
      <c r="P121" s="431">
        <f t="shared" si="48"/>
        <v>0</v>
      </c>
      <c r="Q121" s="431">
        <f t="shared" si="49"/>
        <v>0</v>
      </c>
      <c r="R121" s="431">
        <f t="shared" si="50"/>
        <v>0</v>
      </c>
      <c r="S121" s="431">
        <f t="shared" si="51"/>
        <v>0</v>
      </c>
      <c r="T121" s="431">
        <f t="shared" si="52"/>
        <v>0</v>
      </c>
      <c r="U121" s="432">
        <f>IF($E28=M117,M125,U122)</f>
        <v>0</v>
      </c>
      <c r="V121" s="432">
        <f t="shared" si="53"/>
        <v>0</v>
      </c>
      <c r="W121" s="432">
        <f t="shared" si="54"/>
        <v>0</v>
      </c>
      <c r="X121" s="432">
        <f t="shared" si="55"/>
        <v>0</v>
      </c>
      <c r="Y121" s="432">
        <f t="shared" si="56"/>
        <v>0</v>
      </c>
      <c r="Z121" s="432">
        <f t="shared" si="57"/>
        <v>0</v>
      </c>
      <c r="AA121" s="432">
        <f t="shared" si="58"/>
        <v>0</v>
      </c>
      <c r="AB121" s="435"/>
      <c r="AC121" s="432"/>
    </row>
    <row r="122" spans="1:29" ht="12.75">
      <c r="A122" s="100"/>
      <c r="B122" s="76" t="s">
        <v>252</v>
      </c>
      <c r="C122" s="77"/>
      <c r="D122" s="78"/>
      <c r="E122" s="11"/>
      <c r="F122" s="427">
        <v>3</v>
      </c>
      <c r="G122" s="427">
        <v>7</v>
      </c>
      <c r="H122" s="427">
        <v>6</v>
      </c>
      <c r="I122" s="74">
        <f aca="true" t="shared" si="63" ref="I122:I127">IF(G122=0,"0",(E122/G122)/12*(12-F122))</f>
        <v>0</v>
      </c>
      <c r="J122" s="74">
        <f aca="true" t="shared" si="64" ref="J122:J127">(E122*H122/100)/12*(12-F122)</f>
        <v>0</v>
      </c>
      <c r="K122" s="91"/>
      <c r="L122" s="358"/>
      <c r="M122" s="429" t="s">
        <v>262</v>
      </c>
      <c r="N122" s="431"/>
      <c r="O122" s="431"/>
      <c r="P122" s="431"/>
      <c r="Q122" s="431"/>
      <c r="R122" s="431"/>
      <c r="S122" s="431"/>
      <c r="T122" s="431"/>
      <c r="U122" s="432">
        <f>IF($E$28=M118,M126,U123)</f>
        <v>0</v>
      </c>
      <c r="V122" s="432"/>
      <c r="W122" s="432"/>
      <c r="X122" s="432"/>
      <c r="Y122" s="432">
        <f>IF($E$28=M122,X123,Y123)</f>
        <v>0</v>
      </c>
      <c r="Z122" s="432"/>
      <c r="AA122" s="432"/>
      <c r="AB122" s="435"/>
      <c r="AC122" s="432"/>
    </row>
    <row r="123" spans="1:29" ht="12.75">
      <c r="A123" s="100"/>
      <c r="B123" s="76" t="s">
        <v>251</v>
      </c>
      <c r="C123" s="77"/>
      <c r="D123" s="78"/>
      <c r="E123" s="11"/>
      <c r="F123" s="427">
        <v>4</v>
      </c>
      <c r="G123" s="427">
        <v>15</v>
      </c>
      <c r="H123" s="427">
        <v>6</v>
      </c>
      <c r="I123" s="153">
        <f t="shared" si="63"/>
        <v>0</v>
      </c>
      <c r="J123" s="153">
        <f t="shared" si="64"/>
        <v>0</v>
      </c>
      <c r="K123" s="91"/>
      <c r="L123" s="358"/>
      <c r="M123" s="429" t="s">
        <v>180</v>
      </c>
      <c r="N123" s="439"/>
      <c r="O123" s="431"/>
      <c r="P123" s="431"/>
      <c r="Q123" s="431"/>
      <c r="R123" s="431"/>
      <c r="S123" s="431"/>
      <c r="T123" s="431"/>
      <c r="U123" s="432">
        <f>IF($E$28=M119,M127,U124)</f>
        <v>0</v>
      </c>
      <c r="V123" s="432"/>
      <c r="W123" s="432"/>
      <c r="X123" s="432"/>
      <c r="Y123" s="432"/>
      <c r="Z123" s="432"/>
      <c r="AA123" s="432"/>
      <c r="AB123" s="435"/>
      <c r="AC123" s="432"/>
    </row>
    <row r="124" spans="1:29" ht="12.75">
      <c r="A124" s="100"/>
      <c r="B124" s="76" t="s">
        <v>174</v>
      </c>
      <c r="C124" s="77"/>
      <c r="D124" s="78"/>
      <c r="E124" s="11"/>
      <c r="F124" s="427">
        <v>6</v>
      </c>
      <c r="G124" s="427">
        <v>15</v>
      </c>
      <c r="H124" s="427">
        <v>6</v>
      </c>
      <c r="I124" s="153">
        <f t="shared" si="63"/>
        <v>0</v>
      </c>
      <c r="J124" s="74">
        <f t="shared" si="64"/>
        <v>0</v>
      </c>
      <c r="K124" s="91"/>
      <c r="L124" s="358"/>
      <c r="M124" s="429" t="s">
        <v>75</v>
      </c>
      <c r="N124" s="431"/>
      <c r="O124" s="431"/>
      <c r="P124" s="431"/>
      <c r="Q124" s="431"/>
      <c r="R124" s="431"/>
      <c r="S124" s="431"/>
      <c r="T124" s="431"/>
      <c r="U124" s="432">
        <f>IF($E$28=M120,M128,U125)</f>
        <v>0</v>
      </c>
      <c r="V124" s="432"/>
      <c r="W124" s="432"/>
      <c r="X124" s="432"/>
      <c r="Y124" s="432"/>
      <c r="Z124" s="432"/>
      <c r="AA124" s="432"/>
      <c r="AB124" s="435"/>
      <c r="AC124" s="432"/>
    </row>
    <row r="125" spans="1:29" ht="12.75">
      <c r="A125" s="100"/>
      <c r="B125" s="76" t="s">
        <v>249</v>
      </c>
      <c r="C125" s="77"/>
      <c r="D125" s="78"/>
      <c r="E125" s="11"/>
      <c r="F125" s="427"/>
      <c r="G125" s="427"/>
      <c r="H125" s="427"/>
      <c r="I125" s="153" t="str">
        <f t="shared" si="63"/>
        <v>0</v>
      </c>
      <c r="J125" s="74">
        <f t="shared" si="64"/>
        <v>0</v>
      </c>
      <c r="K125" s="91"/>
      <c r="L125" s="358"/>
      <c r="M125" s="429" t="s">
        <v>76</v>
      </c>
      <c r="N125" s="432"/>
      <c r="O125" s="431"/>
      <c r="P125" s="431" t="s">
        <v>85</v>
      </c>
      <c r="Q125" s="431"/>
      <c r="R125" s="431"/>
      <c r="S125" s="431"/>
      <c r="T125" s="431"/>
      <c r="U125" s="432">
        <f>IF($E$28=M121,M129,U126)</f>
        <v>0</v>
      </c>
      <c r="V125" s="432"/>
      <c r="W125" s="432"/>
      <c r="X125" s="432"/>
      <c r="Y125" s="432"/>
      <c r="Z125" s="432"/>
      <c r="AA125" s="432"/>
      <c r="AB125" s="435"/>
      <c r="AC125" s="432"/>
    </row>
    <row r="126" spans="1:29" ht="12.75">
      <c r="A126" s="100"/>
      <c r="B126" s="76" t="s">
        <v>246</v>
      </c>
      <c r="C126" s="77"/>
      <c r="D126" s="78"/>
      <c r="E126" s="11"/>
      <c r="F126" s="427">
        <v>5</v>
      </c>
      <c r="G126" s="52"/>
      <c r="H126" s="427">
        <v>6</v>
      </c>
      <c r="I126" s="153" t="str">
        <f t="shared" si="63"/>
        <v>0</v>
      </c>
      <c r="J126" s="74">
        <f t="shared" si="64"/>
        <v>0</v>
      </c>
      <c r="K126" s="91"/>
      <c r="L126" s="358"/>
      <c r="M126" s="429" t="s">
        <v>77</v>
      </c>
      <c r="N126" s="431"/>
      <c r="O126" s="431"/>
      <c r="P126" s="431"/>
      <c r="Q126" s="431"/>
      <c r="R126" s="431"/>
      <c r="S126" s="431"/>
      <c r="T126" s="431"/>
      <c r="U126" s="432"/>
      <c r="V126" s="432"/>
      <c r="W126" s="432"/>
      <c r="X126" s="432"/>
      <c r="Y126" s="432"/>
      <c r="Z126" s="432"/>
      <c r="AA126" s="432"/>
      <c r="AB126" s="435"/>
      <c r="AC126" s="432"/>
    </row>
    <row r="127" spans="1:29" ht="12.75">
      <c r="A127" s="100"/>
      <c r="B127" s="76" t="s">
        <v>248</v>
      </c>
      <c r="C127" s="77"/>
      <c r="D127" s="78"/>
      <c r="E127" s="11"/>
      <c r="F127" s="427">
        <v>6</v>
      </c>
      <c r="G127" s="52"/>
      <c r="H127" s="427">
        <v>6</v>
      </c>
      <c r="I127" s="153" t="str">
        <f t="shared" si="63"/>
        <v>0</v>
      </c>
      <c r="J127" s="74">
        <f t="shared" si="64"/>
        <v>0</v>
      </c>
      <c r="K127" s="91"/>
      <c r="L127" s="358"/>
      <c r="M127" s="429" t="s">
        <v>78</v>
      </c>
      <c r="N127" s="431"/>
      <c r="O127" s="431"/>
      <c r="P127" s="431"/>
      <c r="Q127" s="431"/>
      <c r="R127" s="431"/>
      <c r="S127" s="431"/>
      <c r="T127" s="431"/>
      <c r="U127" s="432"/>
      <c r="V127" s="432"/>
      <c r="W127" s="432"/>
      <c r="X127" s="432"/>
      <c r="Y127" s="432"/>
      <c r="Z127" s="432"/>
      <c r="AA127" s="432"/>
      <c r="AB127" s="435"/>
      <c r="AC127" s="432"/>
    </row>
    <row r="128" spans="1:29" ht="12.75">
      <c r="A128" s="100"/>
      <c r="B128" s="81" t="s">
        <v>16</v>
      </c>
      <c r="C128" s="77"/>
      <c r="D128" s="77"/>
      <c r="E128" s="174"/>
      <c r="F128" s="174"/>
      <c r="G128" s="174"/>
      <c r="H128" s="175"/>
      <c r="I128" s="134">
        <f>SUM(I122:I127)</f>
        <v>0</v>
      </c>
      <c r="J128" s="134">
        <f>SUM(J122:J127)</f>
        <v>0</v>
      </c>
      <c r="K128" s="91"/>
      <c r="L128" s="358"/>
      <c r="M128" s="429" t="s">
        <v>79</v>
      </c>
      <c r="N128" s="431"/>
      <c r="O128" s="431"/>
      <c r="P128" s="431"/>
      <c r="Q128" s="431"/>
      <c r="R128" s="431"/>
      <c r="S128" s="431"/>
      <c r="T128" s="431"/>
      <c r="U128" s="432"/>
      <c r="V128" s="432"/>
      <c r="W128" s="432"/>
      <c r="X128" s="432"/>
      <c r="Y128" s="432"/>
      <c r="Z128" s="432"/>
      <c r="AA128" s="432"/>
      <c r="AB128" s="438"/>
      <c r="AC128" s="432"/>
    </row>
    <row r="129" spans="1:29" ht="12.75">
      <c r="A129" s="101"/>
      <c r="B129" s="101"/>
      <c r="C129" s="101"/>
      <c r="D129" s="101"/>
      <c r="E129" s="126"/>
      <c r="F129" s="126"/>
      <c r="G129" s="126"/>
      <c r="H129" s="126"/>
      <c r="I129" s="126"/>
      <c r="J129" s="126"/>
      <c r="K129" s="91"/>
      <c r="L129" s="358"/>
      <c r="M129" s="429" t="s">
        <v>80</v>
      </c>
      <c r="N129" s="440"/>
      <c r="O129" s="431"/>
      <c r="P129" s="431"/>
      <c r="Q129" s="431"/>
      <c r="R129" s="431"/>
      <c r="S129" s="431"/>
      <c r="T129" s="431"/>
      <c r="U129" s="432"/>
      <c r="V129" s="432"/>
      <c r="W129" s="432"/>
      <c r="X129" s="432"/>
      <c r="Y129" s="432"/>
      <c r="Z129" s="432"/>
      <c r="AA129" s="432"/>
      <c r="AB129" s="441"/>
      <c r="AC129" s="432"/>
    </row>
    <row r="130" spans="1:29" ht="12.75">
      <c r="A130" s="101"/>
      <c r="B130" s="101"/>
      <c r="C130" s="101"/>
      <c r="D130" s="101"/>
      <c r="E130" s="126"/>
      <c r="F130" s="126"/>
      <c r="G130" s="126"/>
      <c r="H130" s="126"/>
      <c r="I130" s="126"/>
      <c r="J130" s="126"/>
      <c r="K130" s="91"/>
      <c r="L130" s="358"/>
      <c r="M130" s="429" t="s">
        <v>81</v>
      </c>
      <c r="N130" s="431"/>
      <c r="O130" s="431"/>
      <c r="P130" s="431"/>
      <c r="Q130" s="431"/>
      <c r="R130" s="431"/>
      <c r="S130" s="431"/>
      <c r="T130" s="431"/>
      <c r="U130" s="432"/>
      <c r="V130" s="432"/>
      <c r="W130" s="432"/>
      <c r="X130" s="432"/>
      <c r="Y130" s="432"/>
      <c r="Z130" s="432"/>
      <c r="AA130" s="432"/>
      <c r="AB130" s="441"/>
      <c r="AC130" s="432"/>
    </row>
    <row r="131" spans="1:29" ht="12.75">
      <c r="A131" s="101"/>
      <c r="B131" s="81" t="s">
        <v>110</v>
      </c>
      <c r="C131" s="77"/>
      <c r="D131" s="78"/>
      <c r="E131" s="161">
        <f>E22</f>
        <v>2011</v>
      </c>
      <c r="F131" s="161">
        <f>F28</f>
        <v>2010</v>
      </c>
      <c r="G131" s="161">
        <f>G28</f>
        <v>2009</v>
      </c>
      <c r="H131" s="161">
        <f>H28</f>
        <v>2008</v>
      </c>
      <c r="I131" s="161">
        <f>I28</f>
        <v>2007</v>
      </c>
      <c r="J131" s="161">
        <f>J28</f>
        <v>2006</v>
      </c>
      <c r="K131" s="91"/>
      <c r="L131" s="358"/>
      <c r="M131" s="429" t="s">
        <v>82</v>
      </c>
      <c r="N131" s="431"/>
      <c r="O131" s="431"/>
      <c r="P131" s="431"/>
      <c r="Q131" s="431"/>
      <c r="R131" s="431"/>
      <c r="S131" s="431"/>
      <c r="T131" s="431"/>
      <c r="U131" s="432"/>
      <c r="V131" s="432"/>
      <c r="W131" s="432"/>
      <c r="X131" s="432"/>
      <c r="Y131" s="432"/>
      <c r="Z131" s="432"/>
      <c r="AA131" s="432"/>
      <c r="AB131" s="442"/>
      <c r="AC131" s="432"/>
    </row>
    <row r="132" spans="1:29" ht="12.75">
      <c r="A132" s="101"/>
      <c r="B132" s="76" t="s">
        <v>245</v>
      </c>
      <c r="C132" s="127"/>
      <c r="D132" s="128"/>
      <c r="E132" s="74">
        <f>F132+E127+E125-I125-F154-F155-E67</f>
        <v>8658</v>
      </c>
      <c r="F132" s="462">
        <v>8746</v>
      </c>
      <c r="G132" s="316"/>
      <c r="H132" s="316"/>
      <c r="I132" s="317"/>
      <c r="J132" s="317"/>
      <c r="K132" s="91"/>
      <c r="L132" s="358"/>
      <c r="M132" s="429" t="s">
        <v>83</v>
      </c>
      <c r="N132" s="429"/>
      <c r="O132" s="429"/>
      <c r="P132" s="431"/>
      <c r="Q132" s="431"/>
      <c r="R132" s="431"/>
      <c r="S132" s="431"/>
      <c r="T132" s="431"/>
      <c r="U132" s="432"/>
      <c r="V132" s="432"/>
      <c r="W132" s="432"/>
      <c r="X132" s="432"/>
      <c r="Y132" s="432"/>
      <c r="Z132" s="432"/>
      <c r="AA132" s="432"/>
      <c r="AB132" s="442"/>
      <c r="AC132" s="432"/>
    </row>
    <row r="133" spans="1:29" ht="12.75">
      <c r="A133" s="101"/>
      <c r="B133" s="76" t="s">
        <v>174</v>
      </c>
      <c r="C133" s="127"/>
      <c r="D133" s="128"/>
      <c r="E133" s="74">
        <f>F133+E156-F156-E68-I124</f>
        <v>0</v>
      </c>
      <c r="F133" s="462"/>
      <c r="G133" s="316"/>
      <c r="H133" s="316"/>
      <c r="I133" s="317"/>
      <c r="J133" s="317"/>
      <c r="K133" s="91"/>
      <c r="L133" s="358"/>
      <c r="M133" s="429" t="s">
        <v>84</v>
      </c>
      <c r="N133" s="431"/>
      <c r="O133" s="431"/>
      <c r="P133" s="431"/>
      <c r="Q133" s="431"/>
      <c r="R133" s="431"/>
      <c r="S133" s="431"/>
      <c r="T133" s="431"/>
      <c r="U133" s="432"/>
      <c r="V133" s="432"/>
      <c r="W133" s="432"/>
      <c r="X133" s="432"/>
      <c r="Y133" s="432"/>
      <c r="Z133" s="432"/>
      <c r="AA133" s="432"/>
      <c r="AB133" s="442"/>
      <c r="AC133" s="432"/>
    </row>
    <row r="134" spans="1:28" ht="12.75">
      <c r="A134" s="101"/>
      <c r="B134" s="190" t="s">
        <v>246</v>
      </c>
      <c r="C134" s="127"/>
      <c r="D134" s="128"/>
      <c r="E134" s="74">
        <f>E158-F158+F134</f>
        <v>0</v>
      </c>
      <c r="F134" s="462"/>
      <c r="G134" s="316"/>
      <c r="H134" s="316"/>
      <c r="I134" s="317"/>
      <c r="J134" s="317"/>
      <c r="K134" s="91"/>
      <c r="L134" s="358"/>
      <c r="M134" s="422"/>
      <c r="N134" s="423"/>
      <c r="O134" s="423"/>
      <c r="P134" s="422"/>
      <c r="Q134" s="422"/>
      <c r="R134" s="422"/>
      <c r="S134" s="422"/>
      <c r="T134" s="422"/>
      <c r="U134" s="19"/>
      <c r="V134" s="19"/>
      <c r="W134" s="19"/>
      <c r="X134" s="19"/>
      <c r="Y134" s="19"/>
      <c r="Z134" s="19"/>
      <c r="AA134" s="19"/>
      <c r="AB134" s="34"/>
    </row>
    <row r="135" spans="1:28" ht="12.75">
      <c r="A135" s="101"/>
      <c r="B135" s="190" t="s">
        <v>101</v>
      </c>
      <c r="C135" s="127"/>
      <c r="D135" s="128"/>
      <c r="E135" s="74">
        <f>F135-E69+E159-F159+E157-F157-I122-I123</f>
        <v>1360</v>
      </c>
      <c r="F135" s="462">
        <v>1513</v>
      </c>
      <c r="G135" s="316"/>
      <c r="H135" s="316"/>
      <c r="I135" s="317"/>
      <c r="J135" s="317"/>
      <c r="K135" s="91"/>
      <c r="L135" s="358"/>
      <c r="M135" s="179"/>
      <c r="N135" s="424"/>
      <c r="O135" s="424"/>
      <c r="P135" s="424"/>
      <c r="Q135" s="424"/>
      <c r="R135" s="424"/>
      <c r="S135" s="424"/>
      <c r="T135" s="424"/>
      <c r="U135" s="19"/>
      <c r="V135" s="19"/>
      <c r="W135" s="19"/>
      <c r="X135" s="19"/>
      <c r="Y135" s="19"/>
      <c r="Z135" s="19"/>
      <c r="AA135" s="19"/>
      <c r="AB135" s="38"/>
    </row>
    <row r="136" spans="1:28" ht="12.75">
      <c r="A136" s="101"/>
      <c r="B136" s="76" t="s">
        <v>111</v>
      </c>
      <c r="C136" s="77"/>
      <c r="D136" s="78"/>
      <c r="E136" s="74">
        <f>F136+E160-F160</f>
        <v>203</v>
      </c>
      <c r="F136" s="462">
        <v>203</v>
      </c>
      <c r="G136" s="316"/>
      <c r="H136" s="316"/>
      <c r="I136" s="317"/>
      <c r="J136" s="317"/>
      <c r="K136" s="91"/>
      <c r="L136" s="358"/>
      <c r="M136" s="349"/>
      <c r="N136" s="349"/>
      <c r="O136" s="349"/>
      <c r="P136" s="349"/>
      <c r="Q136" s="349"/>
      <c r="R136" s="349"/>
      <c r="S136" s="349"/>
      <c r="T136" s="332"/>
      <c r="U136" s="332"/>
      <c r="V136" s="332"/>
      <c r="W136" s="332"/>
      <c r="X136" s="332"/>
      <c r="Y136" s="332"/>
      <c r="Z136" s="332"/>
      <c r="AA136" s="31"/>
      <c r="AB136" s="38"/>
    </row>
    <row r="137" spans="1:28" ht="12.75">
      <c r="A137" s="101"/>
      <c r="B137" s="76" t="s">
        <v>229</v>
      </c>
      <c r="C137" s="77"/>
      <c r="D137" s="78"/>
      <c r="E137" s="74">
        <f>E161-F161+F137</f>
        <v>206</v>
      </c>
      <c r="F137" s="462">
        <v>206</v>
      </c>
      <c r="G137" s="316"/>
      <c r="H137" s="316"/>
      <c r="I137" s="317"/>
      <c r="J137" s="317"/>
      <c r="K137" s="91"/>
      <c r="L137" s="91"/>
      <c r="M137" s="101"/>
      <c r="N137" s="91"/>
      <c r="O137" s="91"/>
      <c r="P137" s="91"/>
      <c r="Q137" s="91"/>
      <c r="R137" s="91"/>
      <c r="S137" s="91"/>
      <c r="T137" s="91"/>
      <c r="W137" s="34"/>
      <c r="X137" s="34"/>
      <c r="Y137" s="35"/>
      <c r="Z137" s="38"/>
      <c r="AA137" s="31"/>
      <c r="AB137" s="38"/>
    </row>
    <row r="138" spans="1:28" ht="12.75">
      <c r="A138" s="101"/>
      <c r="B138" s="104" t="s">
        <v>173</v>
      </c>
      <c r="C138" s="129"/>
      <c r="D138" s="130"/>
      <c r="E138" s="74">
        <f>F138+E162-F162</f>
        <v>675</v>
      </c>
      <c r="F138" s="462">
        <v>675</v>
      </c>
      <c r="G138" s="316"/>
      <c r="H138" s="316"/>
      <c r="I138" s="317"/>
      <c r="J138" s="317"/>
      <c r="K138" s="91"/>
      <c r="L138" s="91"/>
      <c r="M138" s="126"/>
      <c r="N138" s="91"/>
      <c r="O138" s="91"/>
      <c r="P138" s="91"/>
      <c r="Q138" s="91"/>
      <c r="R138" s="91"/>
      <c r="S138" s="91"/>
      <c r="T138" s="91"/>
      <c r="W138" s="34"/>
      <c r="X138" s="34"/>
      <c r="Y138" s="35"/>
      <c r="Z138" s="38"/>
      <c r="AA138" s="31"/>
      <c r="AB138" s="38"/>
    </row>
    <row r="139" spans="1:28" ht="12.75">
      <c r="A139" s="101"/>
      <c r="B139" s="104" t="s">
        <v>89</v>
      </c>
      <c r="C139" s="77"/>
      <c r="D139" s="78"/>
      <c r="E139" s="74">
        <f>E163-F163+F139</f>
        <v>305</v>
      </c>
      <c r="F139" s="462">
        <v>305</v>
      </c>
      <c r="G139" s="316"/>
      <c r="H139" s="316"/>
      <c r="I139" s="317"/>
      <c r="J139" s="317"/>
      <c r="K139" s="91"/>
      <c r="L139" s="91"/>
      <c r="M139" s="92"/>
      <c r="N139" s="91"/>
      <c r="O139" s="91"/>
      <c r="P139" s="91"/>
      <c r="Q139" s="91"/>
      <c r="R139" s="91"/>
      <c r="S139" s="91"/>
      <c r="T139" s="91"/>
      <c r="W139" s="34"/>
      <c r="X139" s="34"/>
      <c r="Y139" s="35"/>
      <c r="Z139" s="28"/>
      <c r="AA139" s="31"/>
      <c r="AB139" s="28"/>
    </row>
    <row r="140" spans="1:28" ht="12.75">
      <c r="A140" s="101"/>
      <c r="B140" s="76" t="s">
        <v>90</v>
      </c>
      <c r="C140" s="77"/>
      <c r="D140" s="78"/>
      <c r="E140" s="74">
        <f>F140+E164-F164</f>
        <v>0</v>
      </c>
      <c r="F140" s="462">
        <v>0</v>
      </c>
      <c r="G140" s="316"/>
      <c r="H140" s="316"/>
      <c r="I140" s="317"/>
      <c r="J140" s="317"/>
      <c r="K140" s="91"/>
      <c r="L140" s="91"/>
      <c r="M140" s="91"/>
      <c r="N140" s="91"/>
      <c r="O140" s="91"/>
      <c r="P140" s="91"/>
      <c r="Q140" s="91"/>
      <c r="R140" s="91"/>
      <c r="S140" s="91"/>
      <c r="T140" s="91"/>
      <c r="W140" s="36"/>
      <c r="X140" s="42"/>
      <c r="Y140" s="41"/>
      <c r="Z140" s="39"/>
      <c r="AA140" s="31"/>
      <c r="AB140" s="39"/>
    </row>
    <row r="141" spans="1:28" ht="12.75">
      <c r="A141" s="101"/>
      <c r="B141" s="76" t="s">
        <v>113</v>
      </c>
      <c r="C141" s="77"/>
      <c r="D141" s="78"/>
      <c r="E141" s="74">
        <f>F141+E165-F165</f>
        <v>1176</v>
      </c>
      <c r="F141" s="462">
        <v>1176</v>
      </c>
      <c r="G141" s="316"/>
      <c r="H141" s="316"/>
      <c r="I141" s="317"/>
      <c r="J141" s="317"/>
      <c r="K141" s="91"/>
      <c r="L141" s="91"/>
      <c r="M141" s="92"/>
      <c r="N141" s="91"/>
      <c r="O141" s="91"/>
      <c r="P141" s="91"/>
      <c r="Q141" s="91"/>
      <c r="R141" s="91"/>
      <c r="S141" s="91"/>
      <c r="T141" s="91"/>
      <c r="W141" s="36"/>
      <c r="X141" s="36"/>
      <c r="Y141" s="35"/>
      <c r="Z141" s="28"/>
      <c r="AA141" s="31"/>
      <c r="AB141" s="28"/>
    </row>
    <row r="142" spans="1:28" ht="12.75">
      <c r="A142" s="101"/>
      <c r="B142" s="81" t="s">
        <v>91</v>
      </c>
      <c r="C142" s="77"/>
      <c r="D142" s="78"/>
      <c r="E142" s="134">
        <f aca="true" t="shared" si="65" ref="E142:J142">SUM(E132:E141)</f>
        <v>12583</v>
      </c>
      <c r="F142" s="134">
        <f t="shared" si="65"/>
        <v>12824</v>
      </c>
      <c r="G142" s="134">
        <f t="shared" si="65"/>
        <v>0</v>
      </c>
      <c r="H142" s="134">
        <f t="shared" si="65"/>
        <v>0</v>
      </c>
      <c r="I142" s="134">
        <f t="shared" si="65"/>
        <v>0</v>
      </c>
      <c r="J142" s="134">
        <f t="shared" si="65"/>
        <v>0</v>
      </c>
      <c r="K142" s="91"/>
      <c r="L142" s="91"/>
      <c r="M142" s="126"/>
      <c r="N142" s="92"/>
      <c r="O142" s="91"/>
      <c r="P142" s="91"/>
      <c r="Q142" s="91"/>
      <c r="R142" s="91"/>
      <c r="S142" s="91"/>
      <c r="T142" s="91"/>
      <c r="W142" s="35"/>
      <c r="X142" s="35"/>
      <c r="Y142" s="35"/>
      <c r="Z142" s="38"/>
      <c r="AA142" s="31"/>
      <c r="AB142" s="38"/>
    </row>
    <row r="143" spans="1:28" ht="12.75">
      <c r="A143" s="101"/>
      <c r="B143" s="91"/>
      <c r="C143" s="101"/>
      <c r="D143" s="101"/>
      <c r="E143" s="177"/>
      <c r="F143" s="178"/>
      <c r="G143" s="178"/>
      <c r="H143" s="178"/>
      <c r="I143" s="178"/>
      <c r="J143" s="178"/>
      <c r="K143" s="91"/>
      <c r="L143" s="91"/>
      <c r="M143" s="101"/>
      <c r="N143" s="91"/>
      <c r="O143" s="91"/>
      <c r="P143" s="91"/>
      <c r="Q143" s="91"/>
      <c r="R143" s="91"/>
      <c r="S143" s="91"/>
      <c r="T143" s="91"/>
      <c r="W143" s="34"/>
      <c r="X143" s="34"/>
      <c r="Y143" s="34"/>
      <c r="Z143" s="38"/>
      <c r="AA143" s="31"/>
      <c r="AB143" s="38"/>
    </row>
    <row r="144" spans="1:28" ht="12.75">
      <c r="A144" s="101"/>
      <c r="B144" s="104" t="s">
        <v>135</v>
      </c>
      <c r="C144" s="77"/>
      <c r="D144" s="78"/>
      <c r="E144" s="176">
        <f>F144+Årsbudget!D25-E145+F145</f>
        <v>-569.5514708144801</v>
      </c>
      <c r="F144" s="463">
        <v>-570</v>
      </c>
      <c r="G144" s="315"/>
      <c r="H144" s="315"/>
      <c r="I144" s="318"/>
      <c r="J144" s="318"/>
      <c r="K144" s="91"/>
      <c r="L144" s="91"/>
      <c r="M144" s="126"/>
      <c r="N144" s="91"/>
      <c r="O144" s="91"/>
      <c r="P144" s="91"/>
      <c r="Q144" s="91"/>
      <c r="R144" s="91"/>
      <c r="S144" s="91"/>
      <c r="T144" s="91"/>
      <c r="W144" s="34"/>
      <c r="X144" s="34"/>
      <c r="Y144" s="34"/>
      <c r="Z144" s="38"/>
      <c r="AA144" s="31"/>
      <c r="AB144" s="38"/>
    </row>
    <row r="145" spans="1:28" ht="12.75">
      <c r="A145" s="101"/>
      <c r="B145" s="104" t="s">
        <v>136</v>
      </c>
      <c r="C145" s="77"/>
      <c r="D145" s="78"/>
      <c r="E145" s="74">
        <f>E141-E149</f>
        <v>1176</v>
      </c>
      <c r="F145" s="462">
        <v>1176</v>
      </c>
      <c r="G145" s="316"/>
      <c r="H145" s="316"/>
      <c r="I145" s="317"/>
      <c r="J145" s="317"/>
      <c r="K145" s="91"/>
      <c r="L145" s="91"/>
      <c r="M145" s="93"/>
      <c r="N145" s="92"/>
      <c r="O145" s="91"/>
      <c r="P145" s="91"/>
      <c r="Q145" s="91"/>
      <c r="R145" s="91"/>
      <c r="S145" s="91"/>
      <c r="T145" s="91"/>
      <c r="W145" s="34"/>
      <c r="X145" s="34"/>
      <c r="Y145" s="34"/>
      <c r="Z145" s="28"/>
      <c r="AA145" s="31"/>
      <c r="AB145" s="28"/>
    </row>
    <row r="146" spans="1:28" ht="12.75">
      <c r="A146" s="101"/>
      <c r="B146" s="76" t="s">
        <v>87</v>
      </c>
      <c r="C146" s="77"/>
      <c r="D146" s="78"/>
      <c r="E146" s="74">
        <f>F146+E118</f>
        <v>85.36697842451628</v>
      </c>
      <c r="F146" s="463"/>
      <c r="G146" s="315"/>
      <c r="H146" s="315"/>
      <c r="I146" s="317"/>
      <c r="J146" s="317"/>
      <c r="K146" s="91"/>
      <c r="L146" s="91"/>
      <c r="M146" s="126"/>
      <c r="N146" s="91"/>
      <c r="O146" s="91"/>
      <c r="P146" s="91"/>
      <c r="Q146" s="91"/>
      <c r="R146" s="91"/>
      <c r="S146" s="91"/>
      <c r="T146" s="91"/>
      <c r="W146" s="34"/>
      <c r="X146" s="37"/>
      <c r="Y146" s="41"/>
      <c r="Z146" s="39"/>
      <c r="AA146" s="31"/>
      <c r="AB146" s="39"/>
    </row>
    <row r="147" spans="1:28" ht="12.75">
      <c r="A147" s="101"/>
      <c r="B147" s="76" t="s">
        <v>88</v>
      </c>
      <c r="C147" s="77"/>
      <c r="D147" s="78"/>
      <c r="E147" s="74">
        <f>F147+E166-F166</f>
        <v>9469.278042389964</v>
      </c>
      <c r="F147" s="462">
        <v>9706</v>
      </c>
      <c r="G147" s="316"/>
      <c r="H147" s="316"/>
      <c r="I147" s="317"/>
      <c r="J147" s="317"/>
      <c r="K147" s="91"/>
      <c r="L147" s="91"/>
      <c r="M147" s="101"/>
      <c r="N147" s="92"/>
      <c r="O147" s="91"/>
      <c r="P147" s="91"/>
      <c r="Q147" s="91"/>
      <c r="R147" s="91"/>
      <c r="S147" s="91"/>
      <c r="T147" s="91"/>
      <c r="W147" s="32"/>
      <c r="X147" s="32"/>
      <c r="Y147" s="32"/>
      <c r="Z147" s="28"/>
      <c r="AA147" s="33"/>
      <c r="AB147" s="29"/>
    </row>
    <row r="148" spans="1:28" ht="12.75">
      <c r="A148" s="101"/>
      <c r="B148" s="76" t="s">
        <v>114</v>
      </c>
      <c r="C148" s="77"/>
      <c r="D148" s="78"/>
      <c r="E148" s="74">
        <f>Årsbudget!D38-E144-E145-E146-E147-E149</f>
        <v>2421.9064500000004</v>
      </c>
      <c r="F148" s="463">
        <v>2512</v>
      </c>
      <c r="G148" s="315"/>
      <c r="H148" s="315"/>
      <c r="I148" s="317"/>
      <c r="J148" s="317"/>
      <c r="K148" s="91"/>
      <c r="L148" s="91"/>
      <c r="M148" s="101"/>
      <c r="N148" s="92"/>
      <c r="O148" s="91"/>
      <c r="P148" s="91"/>
      <c r="Q148" s="91"/>
      <c r="R148" s="91"/>
      <c r="S148" s="91"/>
      <c r="T148" s="91"/>
      <c r="W148" s="34"/>
      <c r="X148" s="34"/>
      <c r="Y148" s="34"/>
      <c r="Z148" s="34"/>
      <c r="AA148" s="31"/>
      <c r="AB148" s="39"/>
    </row>
    <row r="149" spans="1:28" ht="12.75">
      <c r="A149" s="211" t="s">
        <v>223</v>
      </c>
      <c r="B149" s="76" t="s">
        <v>115</v>
      </c>
      <c r="C149" s="77"/>
      <c r="D149" s="78"/>
      <c r="E149" s="74">
        <f>F149+E167-F167</f>
        <v>0</v>
      </c>
      <c r="F149" s="462"/>
      <c r="G149" s="316"/>
      <c r="H149" s="316"/>
      <c r="I149" s="317"/>
      <c r="J149" s="317"/>
      <c r="K149" s="91"/>
      <c r="L149" s="91"/>
      <c r="M149" s="125"/>
      <c r="N149" s="92"/>
      <c r="O149" s="91"/>
      <c r="P149" s="91"/>
      <c r="Q149" s="91"/>
      <c r="R149" s="91"/>
      <c r="S149" s="91"/>
      <c r="T149" s="91"/>
      <c r="W149" s="32"/>
      <c r="X149" s="28"/>
      <c r="Y149" s="32"/>
      <c r="Z149" s="40"/>
      <c r="AA149" s="33"/>
      <c r="AB149" s="29"/>
    </row>
    <row r="150" spans="1:28" ht="12.75">
      <c r="A150" s="101"/>
      <c r="B150" s="81" t="s">
        <v>92</v>
      </c>
      <c r="C150" s="77"/>
      <c r="D150" s="78"/>
      <c r="E150" s="134">
        <f aca="true" t="shared" si="66" ref="E150:J150">SUM(E144:E149)</f>
        <v>12583</v>
      </c>
      <c r="F150" s="134">
        <f t="shared" si="66"/>
        <v>12824</v>
      </c>
      <c r="G150" s="134">
        <f t="shared" si="66"/>
        <v>0</v>
      </c>
      <c r="H150" s="134">
        <f t="shared" si="66"/>
        <v>0</v>
      </c>
      <c r="I150" s="134">
        <f t="shared" si="66"/>
        <v>0</v>
      </c>
      <c r="J150" s="134">
        <f t="shared" si="66"/>
        <v>0</v>
      </c>
      <c r="K150" s="91"/>
      <c r="L150" s="91"/>
      <c r="M150" s="91"/>
      <c r="N150" s="92"/>
      <c r="O150" s="91"/>
      <c r="P150" s="91"/>
      <c r="Q150" s="91"/>
      <c r="R150" s="91"/>
      <c r="S150" s="91"/>
      <c r="T150" s="91"/>
      <c r="W150" s="34"/>
      <c r="X150" s="34"/>
      <c r="Y150" s="34"/>
      <c r="Z150" s="34"/>
      <c r="AA150" s="31"/>
      <c r="AB150" s="39"/>
    </row>
    <row r="151" spans="1:20" ht="12.75">
      <c r="A151" s="101"/>
      <c r="B151" s="82" t="s">
        <v>266</v>
      </c>
      <c r="C151" s="73"/>
      <c r="D151" s="73"/>
      <c r="E151" s="452">
        <v>0.0755</v>
      </c>
      <c r="F151" s="141"/>
      <c r="G151" s="132"/>
      <c r="H151" s="132"/>
      <c r="I151" s="133"/>
      <c r="J151" s="133"/>
      <c r="K151" s="91"/>
      <c r="L151" s="91"/>
      <c r="M151" s="91"/>
      <c r="N151" s="91"/>
      <c r="O151" s="91"/>
      <c r="P151" s="91"/>
      <c r="Q151" s="91"/>
      <c r="R151" s="91"/>
      <c r="S151" s="91"/>
      <c r="T151" s="91"/>
    </row>
    <row r="152" spans="1:20" ht="12.75">
      <c r="A152" s="101"/>
      <c r="B152" s="564" t="s">
        <v>412</v>
      </c>
      <c r="C152" s="565"/>
      <c r="D152" s="566"/>
      <c r="E152" s="15">
        <v>1613</v>
      </c>
      <c r="F152" s="172">
        <f>E148-E152</f>
        <v>808.9064500000004</v>
      </c>
      <c r="G152" s="560" t="s">
        <v>414</v>
      </c>
      <c r="H152" s="559"/>
      <c r="I152" s="559"/>
      <c r="J152" s="559"/>
      <c r="K152" s="91"/>
      <c r="L152" s="91"/>
      <c r="M152" s="91"/>
      <c r="N152" s="91"/>
      <c r="O152" s="91"/>
      <c r="P152" s="91"/>
      <c r="Q152" s="91"/>
      <c r="R152" s="91"/>
      <c r="S152" s="91"/>
      <c r="T152" s="91"/>
    </row>
    <row r="153" spans="1:20" ht="12.75">
      <c r="A153" s="101"/>
      <c r="B153" s="75" t="s">
        <v>60</v>
      </c>
      <c r="C153" s="73"/>
      <c r="D153" s="73"/>
      <c r="E153" s="135" t="s">
        <v>61</v>
      </c>
      <c r="F153" s="173" t="s">
        <v>62</v>
      </c>
      <c r="G153" s="126"/>
      <c r="H153" s="126"/>
      <c r="I153" s="126"/>
      <c r="J153" s="444"/>
      <c r="K153" s="91"/>
      <c r="L153" s="91"/>
      <c r="M153" s="91"/>
      <c r="N153" s="91"/>
      <c r="O153" s="91"/>
      <c r="P153" s="91"/>
      <c r="Q153" s="91"/>
      <c r="R153" s="91"/>
      <c r="S153" s="91"/>
      <c r="T153" s="91"/>
    </row>
    <row r="154" spans="1:20" ht="12.75">
      <c r="A154" s="101"/>
      <c r="B154" s="76" t="s">
        <v>316</v>
      </c>
      <c r="C154" s="77"/>
      <c r="D154" s="78"/>
      <c r="E154" s="15"/>
      <c r="F154" s="15"/>
      <c r="G154" s="126"/>
      <c r="H154" s="126"/>
      <c r="I154" s="126"/>
      <c r="J154" s="126"/>
      <c r="K154" s="91"/>
      <c r="L154" s="91"/>
      <c r="M154" s="125"/>
      <c r="N154" s="92"/>
      <c r="O154" s="91"/>
      <c r="P154" s="91"/>
      <c r="Q154" s="91"/>
      <c r="R154" s="91"/>
      <c r="S154" s="91"/>
      <c r="T154" s="91"/>
    </row>
    <row r="155" spans="1:20" ht="12.75">
      <c r="A155" s="101"/>
      <c r="B155" s="104" t="s">
        <v>317</v>
      </c>
      <c r="C155" s="77"/>
      <c r="D155" s="78"/>
      <c r="E155" s="15"/>
      <c r="F155" s="11"/>
      <c r="G155" s="126"/>
      <c r="H155" s="126"/>
      <c r="I155" s="126"/>
      <c r="J155" s="126"/>
      <c r="K155" s="91"/>
      <c r="L155" s="91"/>
      <c r="M155" s="125"/>
      <c r="N155" s="92"/>
      <c r="O155" s="91"/>
      <c r="P155" s="91"/>
      <c r="Q155" s="91"/>
      <c r="R155" s="91"/>
      <c r="S155" s="91"/>
      <c r="T155" s="91"/>
    </row>
    <row r="156" spans="1:20" ht="12.75">
      <c r="A156" s="101"/>
      <c r="B156" s="356" t="s">
        <v>263</v>
      </c>
      <c r="C156" s="111"/>
      <c r="D156" s="63"/>
      <c r="E156" s="15"/>
      <c r="F156" s="11"/>
      <c r="G156" s="126"/>
      <c r="H156" s="126"/>
      <c r="I156" s="126"/>
      <c r="J156" s="126"/>
      <c r="K156" s="91"/>
      <c r="L156" s="91"/>
      <c r="M156" s="125"/>
      <c r="N156" s="92"/>
      <c r="O156" s="91"/>
      <c r="P156" s="91"/>
      <c r="Q156" s="91"/>
      <c r="R156" s="91"/>
      <c r="S156" s="91"/>
      <c r="T156" s="91"/>
    </row>
    <row r="157" spans="1:20" ht="12.75">
      <c r="A157" s="101"/>
      <c r="B157" s="356" t="s">
        <v>318</v>
      </c>
      <c r="C157" s="111"/>
      <c r="D157" s="63"/>
      <c r="E157" s="15"/>
      <c r="F157" s="11"/>
      <c r="G157" s="126"/>
      <c r="H157" s="126"/>
      <c r="I157" s="126"/>
      <c r="J157" s="126"/>
      <c r="K157" s="91"/>
      <c r="L157" s="91"/>
      <c r="M157" s="125"/>
      <c r="N157" s="92"/>
      <c r="O157" s="91"/>
      <c r="P157" s="91"/>
      <c r="Q157" s="91"/>
      <c r="R157" s="91"/>
      <c r="S157" s="91"/>
      <c r="T157" s="91"/>
    </row>
    <row r="158" spans="1:20" ht="12.75">
      <c r="A158" s="101"/>
      <c r="B158" s="356" t="s">
        <v>319</v>
      </c>
      <c r="C158" s="111"/>
      <c r="D158" s="63"/>
      <c r="E158" s="15"/>
      <c r="F158" s="11"/>
      <c r="G158" s="126"/>
      <c r="H158" s="126"/>
      <c r="I158" s="126"/>
      <c r="J158" s="126"/>
      <c r="K158" s="91"/>
      <c r="L158" s="91"/>
      <c r="M158" s="125"/>
      <c r="N158" s="92"/>
      <c r="O158" s="91"/>
      <c r="P158" s="91"/>
      <c r="Q158" s="91"/>
      <c r="R158" s="91"/>
      <c r="S158" s="91"/>
      <c r="T158" s="91"/>
    </row>
    <row r="159" spans="1:20" ht="12.75">
      <c r="A159" s="101"/>
      <c r="B159" s="62" t="s">
        <v>320</v>
      </c>
      <c r="C159" s="111"/>
      <c r="D159" s="63"/>
      <c r="E159" s="15"/>
      <c r="F159" s="11"/>
      <c r="G159" s="126"/>
      <c r="H159" s="126"/>
      <c r="I159" s="126"/>
      <c r="J159" s="126"/>
      <c r="K159" s="91"/>
      <c r="L159" s="91"/>
      <c r="M159" s="125"/>
      <c r="N159" s="92"/>
      <c r="O159" s="91"/>
      <c r="P159" s="91"/>
      <c r="Q159" s="91"/>
      <c r="R159" s="91"/>
      <c r="S159" s="91"/>
      <c r="T159" s="91"/>
    </row>
    <row r="160" spans="1:20" ht="12.75">
      <c r="A160" s="101"/>
      <c r="B160" s="76" t="s">
        <v>63</v>
      </c>
      <c r="C160" s="77"/>
      <c r="D160" s="78"/>
      <c r="E160" s="15"/>
      <c r="F160" s="428"/>
      <c r="G160" s="126"/>
      <c r="H160" s="125"/>
      <c r="I160" s="92"/>
      <c r="J160" s="91"/>
      <c r="K160" s="91"/>
      <c r="L160" s="91"/>
      <c r="M160" s="125"/>
      <c r="N160" s="92"/>
      <c r="O160" s="91"/>
      <c r="P160" s="91"/>
      <c r="Q160" s="91"/>
      <c r="R160" s="91"/>
      <c r="S160" s="91"/>
      <c r="T160" s="91"/>
    </row>
    <row r="161" spans="1:20" ht="12.75">
      <c r="A161" s="101"/>
      <c r="B161" s="104" t="s">
        <v>279</v>
      </c>
      <c r="C161" s="77"/>
      <c r="D161" s="78"/>
      <c r="E161" s="15"/>
      <c r="F161" s="427"/>
      <c r="G161" s="126"/>
      <c r="H161" s="101"/>
      <c r="I161" s="92"/>
      <c r="J161" s="91"/>
      <c r="K161" s="91"/>
      <c r="L161" s="91"/>
      <c r="M161" s="101"/>
      <c r="N161" s="92"/>
      <c r="O161" s="91"/>
      <c r="P161" s="91"/>
      <c r="Q161" s="91"/>
      <c r="R161" s="91"/>
      <c r="S161" s="91"/>
      <c r="T161" s="91"/>
    </row>
    <row r="162" spans="1:20" ht="12.75">
      <c r="A162" s="101"/>
      <c r="B162" s="62" t="s">
        <v>64</v>
      </c>
      <c r="C162" s="111"/>
      <c r="D162" s="63"/>
      <c r="E162" s="15"/>
      <c r="F162" s="427"/>
      <c r="G162" s="92"/>
      <c r="H162" s="101"/>
      <c r="I162" s="91"/>
      <c r="J162" s="91"/>
      <c r="K162" s="91"/>
      <c r="L162" s="91"/>
      <c r="M162" s="101"/>
      <c r="N162" s="91"/>
      <c r="O162" s="91"/>
      <c r="P162" s="91"/>
      <c r="Q162" s="91"/>
      <c r="R162" s="91"/>
      <c r="S162" s="91"/>
      <c r="T162" s="91"/>
    </row>
    <row r="163" spans="1:20" ht="12.75">
      <c r="A163" s="101"/>
      <c r="B163" s="76" t="s">
        <v>228</v>
      </c>
      <c r="C163" s="77"/>
      <c r="D163" s="78"/>
      <c r="E163" s="15"/>
      <c r="F163" s="427"/>
      <c r="G163" s="92"/>
      <c r="H163" s="101"/>
      <c r="I163" s="91"/>
      <c r="J163" s="91"/>
      <c r="K163" s="91"/>
      <c r="L163" s="91"/>
      <c r="M163" s="101"/>
      <c r="N163" s="91"/>
      <c r="O163" s="91"/>
      <c r="P163" s="91"/>
      <c r="Q163" s="91"/>
      <c r="R163" s="91"/>
      <c r="S163" s="91"/>
      <c r="T163" s="91"/>
    </row>
    <row r="164" spans="1:20" ht="12.75">
      <c r="A164" s="101"/>
      <c r="B164" s="76" t="s">
        <v>167</v>
      </c>
      <c r="C164" s="77"/>
      <c r="D164" s="78"/>
      <c r="E164" s="15"/>
      <c r="F164" s="427"/>
      <c r="G164" s="92"/>
      <c r="H164" s="101"/>
      <c r="I164" s="91"/>
      <c r="J164" s="91"/>
      <c r="K164" s="91"/>
      <c r="L164" s="91"/>
      <c r="M164" s="101"/>
      <c r="N164" s="91"/>
      <c r="O164" s="91"/>
      <c r="P164" s="91"/>
      <c r="Q164" s="91"/>
      <c r="R164" s="91"/>
      <c r="S164" s="91"/>
      <c r="T164" s="91"/>
    </row>
    <row r="165" spans="1:20" ht="12.75">
      <c r="A165" s="101"/>
      <c r="B165" s="76" t="s">
        <v>65</v>
      </c>
      <c r="C165" s="77"/>
      <c r="D165" s="78"/>
      <c r="E165" s="15"/>
      <c r="F165" s="427"/>
      <c r="G165" s="92"/>
      <c r="H165" s="91"/>
      <c r="I165" s="139"/>
      <c r="J165" s="91"/>
      <c r="K165" s="91"/>
      <c r="L165" s="91"/>
      <c r="M165" s="91"/>
      <c r="N165" s="139"/>
      <c r="O165" s="91"/>
      <c r="P165" s="91"/>
      <c r="Q165" s="91"/>
      <c r="R165" s="91"/>
      <c r="S165" s="91"/>
      <c r="T165" s="91"/>
    </row>
    <row r="166" spans="1:20" ht="12.75">
      <c r="A166" s="101"/>
      <c r="B166" s="76" t="s">
        <v>66</v>
      </c>
      <c r="C166" s="77"/>
      <c r="D166" s="78"/>
      <c r="E166" s="73">
        <f>(AI40+AI64+BH40)/1000</f>
        <v>0</v>
      </c>
      <c r="F166" s="52">
        <f>(N57+S57+X57+AC57+AH57+AM57+AW57+BB57+BG57+N81+S81+X81+AC81+AH81)/1000</f>
        <v>236.72195761003607</v>
      </c>
      <c r="G166" s="92"/>
      <c r="H166" s="91"/>
      <c r="I166" s="91"/>
      <c r="J166" s="91"/>
      <c r="K166" s="91"/>
      <c r="L166" s="91"/>
      <c r="M166" s="91"/>
      <c r="N166" s="91"/>
      <c r="O166" s="91"/>
      <c r="P166" s="91"/>
      <c r="Q166" s="91"/>
      <c r="R166" s="91"/>
      <c r="S166" s="91"/>
      <c r="T166" s="91"/>
    </row>
    <row r="167" spans="1:20" ht="12.75">
      <c r="A167" s="101"/>
      <c r="B167" s="76" t="s">
        <v>67</v>
      </c>
      <c r="C167" s="77"/>
      <c r="D167" s="78"/>
      <c r="E167" s="73">
        <f>(AI89/1000)</f>
        <v>0</v>
      </c>
      <c r="F167" s="52">
        <f>(N106+S106+X106+AC106+AH106)/1000</f>
        <v>0</v>
      </c>
      <c r="G167" s="92"/>
      <c r="H167" s="91"/>
      <c r="I167" s="91"/>
      <c r="J167" s="91"/>
      <c r="K167" s="92"/>
      <c r="L167" s="91"/>
      <c r="M167" s="91"/>
      <c r="N167" s="91"/>
      <c r="O167" s="91"/>
      <c r="P167" s="91"/>
      <c r="Q167" s="91"/>
      <c r="R167" s="91"/>
      <c r="S167" s="91"/>
      <c r="T167" s="91"/>
    </row>
    <row r="168" spans="1:20" ht="12.75">
      <c r="A168" s="101"/>
      <c r="B168" s="91"/>
      <c r="C168" s="91"/>
      <c r="D168" s="91"/>
      <c r="E168" s="91"/>
      <c r="F168" s="91"/>
      <c r="G168" s="91"/>
      <c r="H168" s="91"/>
      <c r="I168" s="91"/>
      <c r="J168" s="91"/>
      <c r="K168" s="91"/>
      <c r="L168" s="91"/>
      <c r="M168" s="91"/>
      <c r="N168" s="91"/>
      <c r="O168" s="91"/>
      <c r="P168" s="91"/>
      <c r="Q168" s="91"/>
      <c r="R168" s="91"/>
      <c r="S168" s="91"/>
      <c r="T168" s="91"/>
    </row>
    <row r="169" spans="1:20" ht="12.75">
      <c r="A169" s="101"/>
      <c r="B169" s="76" t="s">
        <v>68</v>
      </c>
      <c r="C169" s="77"/>
      <c r="D169" s="78"/>
      <c r="E169" s="82" t="s">
        <v>37</v>
      </c>
      <c r="F169" s="82" t="s">
        <v>45</v>
      </c>
      <c r="G169" s="91"/>
      <c r="H169" s="91"/>
      <c r="I169" s="91"/>
      <c r="J169" s="91"/>
      <c r="K169" s="91"/>
      <c r="L169" s="91"/>
      <c r="M169" s="91"/>
      <c r="N169" s="91"/>
      <c r="O169" s="91"/>
      <c r="P169" s="91"/>
      <c r="Q169" s="91"/>
      <c r="R169" s="91"/>
      <c r="S169" s="91"/>
      <c r="T169" s="91"/>
    </row>
    <row r="170" spans="1:20" ht="12.75">
      <c r="A170" s="101"/>
      <c r="B170" s="62" t="s">
        <v>69</v>
      </c>
      <c r="C170" s="111"/>
      <c r="D170" s="63"/>
      <c r="E170" s="153">
        <f>Årsbudget!D17+Årsbudget!D18</f>
        <v>126.81550761003615</v>
      </c>
      <c r="F170" s="74">
        <f>Årsbudget!D19</f>
        <v>254</v>
      </c>
      <c r="G170" s="91"/>
      <c r="H170" s="91"/>
      <c r="I170" s="91"/>
      <c r="J170" s="91"/>
      <c r="K170" s="91"/>
      <c r="L170" s="91"/>
      <c r="M170" s="91"/>
      <c r="N170" s="91"/>
      <c r="O170" s="91"/>
      <c r="P170" s="91"/>
      <c r="Q170" s="91"/>
      <c r="R170" s="91"/>
      <c r="S170" s="91"/>
      <c r="T170" s="91"/>
    </row>
    <row r="171" spans="1:20" ht="12.75">
      <c r="A171" s="101"/>
      <c r="B171" s="76" t="s">
        <v>70</v>
      </c>
      <c r="C171" s="77"/>
      <c r="D171" s="78"/>
      <c r="E171" s="11">
        <v>40</v>
      </c>
      <c r="F171" s="11">
        <v>40</v>
      </c>
      <c r="G171" s="92"/>
      <c r="H171" s="91"/>
      <c r="I171" s="91"/>
      <c r="J171" s="91"/>
      <c r="K171" s="91"/>
      <c r="L171" s="91"/>
      <c r="M171" s="91"/>
      <c r="N171" s="91"/>
      <c r="O171" s="91"/>
      <c r="P171" s="91"/>
      <c r="Q171" s="91"/>
      <c r="R171" s="91"/>
      <c r="S171" s="91"/>
      <c r="T171" s="91"/>
    </row>
    <row r="172" spans="1:20" ht="12.75">
      <c r="A172" s="101"/>
      <c r="B172" s="76" t="s">
        <v>71</v>
      </c>
      <c r="C172" s="77"/>
      <c r="D172" s="78"/>
      <c r="E172" s="142">
        <f>E170-E171</f>
        <v>86.81550761003615</v>
      </c>
      <c r="F172" s="142">
        <f>F170-F171</f>
        <v>214</v>
      </c>
      <c r="G172" s="91"/>
      <c r="H172" s="91"/>
      <c r="I172" s="91"/>
      <c r="J172" s="91"/>
      <c r="K172" s="91"/>
      <c r="L172" s="91"/>
      <c r="M172" s="91"/>
      <c r="N172" s="91"/>
      <c r="O172" s="91"/>
      <c r="P172" s="91"/>
      <c r="Q172" s="91"/>
      <c r="R172" s="91"/>
      <c r="S172" s="91"/>
      <c r="T172" s="91"/>
    </row>
    <row r="173" spans="1:20" ht="12.75">
      <c r="A173" s="101"/>
      <c r="B173" s="58" t="s">
        <v>72</v>
      </c>
      <c r="C173" s="107"/>
      <c r="D173" s="59"/>
      <c r="E173" s="11">
        <v>45</v>
      </c>
      <c r="F173" s="16">
        <v>45</v>
      </c>
      <c r="G173" s="92"/>
      <c r="H173" s="91"/>
      <c r="I173" s="91"/>
      <c r="J173" s="91"/>
      <c r="K173" s="91"/>
      <c r="L173" s="91"/>
      <c r="M173" s="91"/>
      <c r="N173" s="91"/>
      <c r="O173" s="91"/>
      <c r="P173" s="91"/>
      <c r="Q173" s="91"/>
      <c r="R173" s="91"/>
      <c r="S173" s="91"/>
      <c r="T173" s="91"/>
    </row>
    <row r="174" spans="1:20" ht="12.75">
      <c r="A174" s="91"/>
      <c r="B174" s="81" t="s">
        <v>73</v>
      </c>
      <c r="C174" s="102"/>
      <c r="D174" s="180"/>
      <c r="E174" s="134">
        <f>E172*E173/100</f>
        <v>39.06697842451627</v>
      </c>
      <c r="F174" s="134">
        <f>F172*F173/100</f>
        <v>96.3</v>
      </c>
      <c r="G174" s="179"/>
      <c r="H174" s="91"/>
      <c r="I174" s="91"/>
      <c r="J174" s="91"/>
      <c r="K174" s="91"/>
      <c r="L174" s="91"/>
      <c r="M174" s="91"/>
      <c r="N174" s="91"/>
      <c r="O174" s="91"/>
      <c r="P174" s="91"/>
      <c r="Q174" s="91"/>
      <c r="R174" s="91"/>
      <c r="S174" s="91"/>
      <c r="T174" s="91"/>
    </row>
    <row r="175" spans="1:20" ht="12.75">
      <c r="A175" s="91"/>
      <c r="B175" s="125"/>
      <c r="C175" s="125"/>
      <c r="D175" s="125"/>
      <c r="E175" s="181"/>
      <c r="F175" s="181"/>
      <c r="G175" s="92"/>
      <c r="H175" s="91"/>
      <c r="I175" s="91"/>
      <c r="J175" s="91"/>
      <c r="K175" s="91"/>
      <c r="L175" s="91"/>
      <c r="M175" s="91"/>
      <c r="N175" s="91"/>
      <c r="O175" s="91"/>
      <c r="P175" s="91"/>
      <c r="Q175" s="91"/>
      <c r="R175" s="91"/>
      <c r="S175" s="91"/>
      <c r="T175" s="91"/>
    </row>
    <row r="176" spans="2:20" ht="12.75">
      <c r="B176" s="125"/>
      <c r="C176" s="125"/>
      <c r="D176" s="125"/>
      <c r="E176" s="181"/>
      <c r="F176" s="181"/>
      <c r="G176" s="92"/>
      <c r="H176" s="91"/>
      <c r="I176" s="91"/>
      <c r="J176" s="91"/>
      <c r="K176" s="91"/>
      <c r="L176" s="91"/>
      <c r="M176" s="91"/>
      <c r="N176" s="91"/>
      <c r="O176" s="91"/>
      <c r="P176" s="91"/>
      <c r="Q176" s="91"/>
      <c r="R176" s="91"/>
      <c r="S176" s="91"/>
      <c r="T176" s="91"/>
    </row>
    <row r="177" spans="7:20" ht="12.75">
      <c r="G177" s="92"/>
      <c r="H177" s="91"/>
      <c r="I177" s="91"/>
      <c r="J177" s="91"/>
      <c r="K177" s="91"/>
      <c r="L177" s="91"/>
      <c r="M177" s="91"/>
      <c r="N177" s="91"/>
      <c r="O177" s="91"/>
      <c r="P177" s="91"/>
      <c r="Q177" s="91"/>
      <c r="R177" s="91"/>
      <c r="S177" s="91"/>
      <c r="T177" s="91"/>
    </row>
    <row r="178" spans="11:20" ht="12.75">
      <c r="K178" s="91"/>
      <c r="L178" s="91"/>
      <c r="M178" s="92"/>
      <c r="N178" s="92"/>
      <c r="O178" s="92"/>
      <c r="P178" s="91"/>
      <c r="Q178" s="91"/>
      <c r="R178" s="91"/>
      <c r="S178" s="91"/>
      <c r="T178" s="91"/>
    </row>
    <row r="179" spans="11:20" ht="12.75">
      <c r="K179" s="91"/>
      <c r="L179" s="91"/>
      <c r="M179" s="191"/>
      <c r="N179" s="192"/>
      <c r="O179" s="192"/>
      <c r="P179" s="191"/>
      <c r="Q179" s="191"/>
      <c r="R179" s="191"/>
      <c r="S179" s="191"/>
      <c r="T179" s="191"/>
    </row>
    <row r="180" ht="12.75">
      <c r="K180" s="91"/>
    </row>
    <row r="181" ht="12.75">
      <c r="K181" s="91"/>
    </row>
  </sheetData>
  <sheetProtection password="C79E" sheet="1"/>
  <mergeCells count="10">
    <mergeCell ref="B152:D152"/>
    <mergeCell ref="B27:D27"/>
    <mergeCell ref="F22:J22"/>
    <mergeCell ref="G9:J9"/>
    <mergeCell ref="B1:D1"/>
    <mergeCell ref="F1:G1"/>
    <mergeCell ref="B3:C3"/>
    <mergeCell ref="H5:J5"/>
    <mergeCell ref="H6:J6"/>
    <mergeCell ref="I1:I2"/>
  </mergeCells>
  <hyperlinks>
    <hyperlink ref="E83" location="M48" display="M48"/>
    <hyperlink ref="E84" location="M77" display="M77"/>
    <hyperlink ref="E96" location="M102" display="M102"/>
    <hyperlink ref="AO35" location="A87" display="&lt;"/>
    <hyperlink ref="BD35" location="A87" display="&lt;"/>
    <hyperlink ref="AY35" location="A87" display="&lt;"/>
    <hyperlink ref="AT35" location="A87" display="&lt;"/>
    <hyperlink ref="AJ35" location="A87" display="&lt;"/>
    <hyperlink ref="U35" location="A87" display="&lt;"/>
    <hyperlink ref="K35" location="A87" display="&lt;"/>
    <hyperlink ref="P59" location="A88" display="&lt;"/>
    <hyperlink ref="AE108" location="A88" display="&lt;"/>
    <hyperlink ref="A34" location="A1" display="top"/>
    <hyperlink ref="A70" location="Spec.!A1" display="Spec.!A1"/>
    <hyperlink ref="A107" location="A1" display="Top"/>
    <hyperlink ref="A149" location="A1" display="Top"/>
    <hyperlink ref="H5" r:id="rId1" display="http://www.agrogruppen.dk/"/>
  </hyperlinks>
  <printOptions/>
  <pageMargins left="0.75" right="0.75" top="1" bottom="1" header="0" footer="0"/>
  <pageSetup horizontalDpi="300" verticalDpi="300" orientation="portrait" paperSize="9" r:id="rId4"/>
  <headerFooter alignWithMargins="0">
    <oddFooter>&amp;CAgrogruppen Danmark</oddFooter>
  </headerFooter>
  <rowBreaks count="1" manualBreakCount="1">
    <brk id="51" max="65535" man="1"/>
  </rowBreaks>
  <legacyDrawing r:id="rId3"/>
</worksheet>
</file>

<file path=xl/worksheets/sheet4.xml><?xml version="1.0" encoding="utf-8"?>
<worksheet xmlns="http://schemas.openxmlformats.org/spreadsheetml/2006/main" xmlns:r="http://schemas.openxmlformats.org/officeDocument/2006/relationships">
  <dimension ref="A1:N87"/>
  <sheetViews>
    <sheetView showGridLines="0" zoomScalePageLayoutView="0" workbookViewId="0" topLeftCell="A1">
      <selection activeCell="C49" sqref="C49"/>
    </sheetView>
  </sheetViews>
  <sheetFormatPr defaultColWidth="9.140625" defaultRowHeight="12.75"/>
  <cols>
    <col min="1" max="1" width="21.28125" style="0" customWidth="1"/>
    <col min="5" max="5" width="6.8515625" style="0" customWidth="1"/>
    <col min="6" max="6" width="11.28125" style="0" customWidth="1"/>
    <col min="7" max="7" width="2.421875" style="0" customWidth="1"/>
    <col min="8" max="8" width="10.7109375" style="6" customWidth="1"/>
    <col min="9" max="9" width="3.28125" style="0" customWidth="1"/>
  </cols>
  <sheetData>
    <row r="1" spans="1:10" ht="12.75">
      <c r="A1" s="226" t="s">
        <v>208</v>
      </c>
      <c r="B1" s="230"/>
      <c r="C1" s="230"/>
      <c r="D1" s="230"/>
      <c r="E1" s="230"/>
      <c r="F1" s="230"/>
      <c r="G1" s="230"/>
      <c r="H1" s="239" t="s">
        <v>178</v>
      </c>
      <c r="I1" s="351">
        <v>5</v>
      </c>
      <c r="J1" s="230"/>
    </row>
    <row r="2" spans="1:10" ht="12.75">
      <c r="A2" s="247">
        <f>IF(Start!E32&gt;1,"Hvis du vil anvende dette ark må der ikke stå noget i arket Start E35","")</f>
      </c>
      <c r="B2" s="260"/>
      <c r="C2" s="260"/>
      <c r="D2" s="260"/>
      <c r="E2" s="260"/>
      <c r="F2" s="260"/>
      <c r="G2" s="230"/>
      <c r="H2" s="282"/>
      <c r="I2" s="230"/>
      <c r="J2" s="230"/>
    </row>
    <row r="3" spans="1:10" ht="12.75">
      <c r="A3" s="283" t="s">
        <v>230</v>
      </c>
      <c r="B3" s="284" t="s">
        <v>116</v>
      </c>
      <c r="C3" s="284" t="s">
        <v>117</v>
      </c>
      <c r="D3" s="284" t="s">
        <v>118</v>
      </c>
      <c r="E3" s="284" t="s">
        <v>119</v>
      </c>
      <c r="F3" s="285" t="s">
        <v>120</v>
      </c>
      <c r="G3" s="273"/>
      <c r="H3" s="325" t="s">
        <v>121</v>
      </c>
      <c r="I3" s="230"/>
      <c r="J3" s="230"/>
    </row>
    <row r="4" spans="1:13" ht="12.75">
      <c r="A4" s="286" t="s">
        <v>122</v>
      </c>
      <c r="B4" s="269">
        <v>8500</v>
      </c>
      <c r="C4" s="262">
        <v>1.3</v>
      </c>
      <c r="D4" s="268">
        <f>B4*C4</f>
        <v>11050</v>
      </c>
      <c r="E4" s="286"/>
      <c r="F4" s="271"/>
      <c r="G4" s="273"/>
      <c r="H4" s="319">
        <f>D4*E10</f>
        <v>371280</v>
      </c>
      <c r="I4" s="230"/>
      <c r="J4" s="230"/>
      <c r="M4" s="4"/>
    </row>
    <row r="5" spans="1:13" ht="12.75">
      <c r="A5" s="286" t="s">
        <v>123</v>
      </c>
      <c r="B5" s="262">
        <v>2500</v>
      </c>
      <c r="C5" s="262">
        <v>0.1</v>
      </c>
      <c r="D5" s="268">
        <f>B5*C5</f>
        <v>250</v>
      </c>
      <c r="E5" s="286"/>
      <c r="F5" s="271"/>
      <c r="G5" s="273"/>
      <c r="H5" s="319">
        <f>D5*E10</f>
        <v>8400</v>
      </c>
      <c r="I5" s="230"/>
      <c r="J5" s="230"/>
      <c r="M5" s="4"/>
    </row>
    <row r="6" spans="1:10" s="1" customFormat="1" ht="12.75">
      <c r="A6" s="278" t="s">
        <v>124</v>
      </c>
      <c r="B6" s="278"/>
      <c r="C6" s="278"/>
      <c r="D6" s="270">
        <f>SUM(D4:D5)</f>
        <v>11300</v>
      </c>
      <c r="E6" s="278"/>
      <c r="F6" s="272"/>
      <c r="G6" s="276"/>
      <c r="H6" s="320">
        <f>SUM(H4:H5)</f>
        <v>379680</v>
      </c>
      <c r="I6" s="243"/>
      <c r="J6" s="243"/>
    </row>
    <row r="7" spans="1:10" ht="12.75">
      <c r="A7" s="286" t="s">
        <v>154</v>
      </c>
      <c r="B7" s="286"/>
      <c r="C7" s="286"/>
      <c r="D7" s="269">
        <v>1050</v>
      </c>
      <c r="E7" s="286"/>
      <c r="F7" s="271"/>
      <c r="G7" s="273"/>
      <c r="H7" s="319">
        <f>D7*E10</f>
        <v>35280</v>
      </c>
      <c r="I7" s="230"/>
      <c r="J7" s="230"/>
    </row>
    <row r="8" spans="1:10" ht="12.75">
      <c r="A8" s="286" t="s">
        <v>125</v>
      </c>
      <c r="B8" s="286"/>
      <c r="C8" s="286"/>
      <c r="D8" s="269">
        <v>330</v>
      </c>
      <c r="E8" s="286"/>
      <c r="F8" s="271"/>
      <c r="G8" s="273"/>
      <c r="H8" s="319">
        <f>D8*E10</f>
        <v>11088</v>
      </c>
      <c r="I8" s="230"/>
      <c r="J8" s="230"/>
    </row>
    <row r="9" spans="1:10" ht="12.75">
      <c r="A9" s="286" t="s">
        <v>153</v>
      </c>
      <c r="B9" s="286"/>
      <c r="C9" s="286"/>
      <c r="D9" s="269">
        <v>520</v>
      </c>
      <c r="E9" s="286"/>
      <c r="F9" s="271"/>
      <c r="G9" s="273"/>
      <c r="H9" s="319">
        <f>D9*E10</f>
        <v>17472</v>
      </c>
      <c r="I9" s="230"/>
      <c r="J9" s="230"/>
    </row>
    <row r="10" spans="1:10" s="1" customFormat="1" ht="12.75">
      <c r="A10" s="278" t="s">
        <v>6</v>
      </c>
      <c r="B10" s="278"/>
      <c r="C10" s="278"/>
      <c r="D10" s="270">
        <f>D6-D7-D8-D9</f>
        <v>9400</v>
      </c>
      <c r="E10" s="287">
        <v>33.6</v>
      </c>
      <c r="F10" s="272">
        <f>D10*E10</f>
        <v>315840</v>
      </c>
      <c r="G10" s="276"/>
      <c r="H10" s="320">
        <f>H6-H7-H8-H9</f>
        <v>315840</v>
      </c>
      <c r="I10" s="243"/>
      <c r="J10" s="243"/>
    </row>
    <row r="11" spans="1:10" s="1" customFormat="1" ht="12.75">
      <c r="A11" s="264"/>
      <c r="B11" s="288"/>
      <c r="C11" s="288"/>
      <c r="D11" s="288"/>
      <c r="E11" s="289"/>
      <c r="F11" s="290"/>
      <c r="G11" s="276"/>
      <c r="H11" s="277"/>
      <c r="I11" s="243"/>
      <c r="J11" s="243"/>
    </row>
    <row r="12" spans="1:10" s="1" customFormat="1" ht="12.75">
      <c r="A12" s="267" t="s">
        <v>288</v>
      </c>
      <c r="B12" s="284" t="s">
        <v>116</v>
      </c>
      <c r="C12" s="284" t="s">
        <v>117</v>
      </c>
      <c r="D12" s="284" t="s">
        <v>118</v>
      </c>
      <c r="E12" s="291"/>
      <c r="F12" s="292"/>
      <c r="G12" s="276"/>
      <c r="H12" s="277"/>
      <c r="I12" s="243"/>
      <c r="J12" s="243"/>
    </row>
    <row r="13" spans="1:10" s="1" customFormat="1" ht="12.75">
      <c r="A13" s="286" t="s">
        <v>122</v>
      </c>
      <c r="B13" s="269">
        <v>4000</v>
      </c>
      <c r="C13" s="256">
        <v>1.25</v>
      </c>
      <c r="D13" s="268">
        <f>B13*C13</f>
        <v>5000</v>
      </c>
      <c r="E13" s="293"/>
      <c r="F13" s="271"/>
      <c r="G13" s="276"/>
      <c r="H13" s="326">
        <f>D13*E19</f>
        <v>126000</v>
      </c>
      <c r="I13" s="243"/>
      <c r="J13" s="243"/>
    </row>
    <row r="14" spans="1:10" s="1" customFormat="1" ht="12.75">
      <c r="A14" s="286" t="s">
        <v>123</v>
      </c>
      <c r="B14" s="262">
        <v>2000</v>
      </c>
      <c r="C14" s="262">
        <v>0.1</v>
      </c>
      <c r="D14" s="268">
        <f>B14*C14</f>
        <v>200</v>
      </c>
      <c r="E14" s="293"/>
      <c r="F14" s="271"/>
      <c r="G14" s="276"/>
      <c r="H14" s="326">
        <f>D14*E19</f>
        <v>5040</v>
      </c>
      <c r="I14" s="243"/>
      <c r="J14" s="243"/>
    </row>
    <row r="15" spans="1:10" s="1" customFormat="1" ht="12.75">
      <c r="A15" s="278" t="s">
        <v>124</v>
      </c>
      <c r="B15" s="278"/>
      <c r="C15" s="278"/>
      <c r="D15" s="270">
        <f>SUM(D13:D14)</f>
        <v>5200</v>
      </c>
      <c r="E15" s="294"/>
      <c r="F15" s="272"/>
      <c r="G15" s="276"/>
      <c r="H15" s="320">
        <f>D15*E19</f>
        <v>131040</v>
      </c>
      <c r="I15" s="243"/>
      <c r="J15" s="243"/>
    </row>
    <row r="16" spans="1:10" s="1" customFormat="1" ht="12.75">
      <c r="A16" s="265" t="s">
        <v>154</v>
      </c>
      <c r="B16" s="278"/>
      <c r="C16" s="278"/>
      <c r="D16" s="269">
        <v>450</v>
      </c>
      <c r="E16" s="295"/>
      <c r="F16" s="296"/>
      <c r="G16" s="281"/>
      <c r="H16" s="326">
        <f>D16*E19</f>
        <v>11340</v>
      </c>
      <c r="I16" s="243"/>
      <c r="J16" s="243"/>
    </row>
    <row r="17" spans="1:10" s="1" customFormat="1" ht="12.75">
      <c r="A17" s="265" t="s">
        <v>125</v>
      </c>
      <c r="B17" s="278"/>
      <c r="C17" s="278"/>
      <c r="D17" s="269">
        <v>350</v>
      </c>
      <c r="E17" s="295"/>
      <c r="F17" s="296"/>
      <c r="G17" s="281"/>
      <c r="H17" s="326">
        <f>D17*E19</f>
        <v>8820</v>
      </c>
      <c r="I17" s="243"/>
      <c r="J17" s="243"/>
    </row>
    <row r="18" spans="1:10" s="1" customFormat="1" ht="12.75">
      <c r="A18" s="286" t="s">
        <v>153</v>
      </c>
      <c r="B18" s="286"/>
      <c r="C18" s="286"/>
      <c r="D18" s="269">
        <v>250</v>
      </c>
      <c r="E18" s="293"/>
      <c r="F18" s="271"/>
      <c r="G18" s="276"/>
      <c r="H18" s="326">
        <f>D18*E19</f>
        <v>6300</v>
      </c>
      <c r="I18" s="243"/>
      <c r="J18" s="243"/>
    </row>
    <row r="19" spans="1:10" s="1" customFormat="1" ht="12.75">
      <c r="A19" s="278" t="s">
        <v>6</v>
      </c>
      <c r="B19" s="278"/>
      <c r="C19" s="278"/>
      <c r="D19" s="270">
        <f>D15-D16-D17-D18</f>
        <v>4150</v>
      </c>
      <c r="E19" s="287">
        <v>25.2</v>
      </c>
      <c r="F19" s="272">
        <f>D19*E19</f>
        <v>104580</v>
      </c>
      <c r="G19" s="276"/>
      <c r="H19" s="320">
        <f>H15-H16-H17-H18</f>
        <v>104580</v>
      </c>
      <c r="I19" s="243"/>
      <c r="J19" s="243"/>
    </row>
    <row r="20" spans="1:10" ht="12.75">
      <c r="A20" s="297"/>
      <c r="B20" s="288"/>
      <c r="C20" s="288"/>
      <c r="D20" s="288"/>
      <c r="E20" s="289"/>
      <c r="F20" s="290"/>
      <c r="G20" s="273"/>
      <c r="H20" s="275"/>
      <c r="I20" s="240"/>
      <c r="J20" s="230"/>
    </row>
    <row r="21" spans="1:10" ht="12.75">
      <c r="A21" s="267" t="s">
        <v>289</v>
      </c>
      <c r="B21" s="284" t="s">
        <v>116</v>
      </c>
      <c r="C21" s="284" t="s">
        <v>117</v>
      </c>
      <c r="D21" s="284" t="s">
        <v>118</v>
      </c>
      <c r="E21" s="291"/>
      <c r="F21" s="292"/>
      <c r="G21" s="273"/>
      <c r="H21" s="275"/>
      <c r="I21" s="230"/>
      <c r="J21" s="230"/>
    </row>
    <row r="22" spans="1:14" ht="12.75">
      <c r="A22" s="286" t="s">
        <v>122</v>
      </c>
      <c r="B22" s="269">
        <v>6000</v>
      </c>
      <c r="C22" s="262">
        <v>1.3</v>
      </c>
      <c r="D22" s="268">
        <f>B22*C22</f>
        <v>7800</v>
      </c>
      <c r="E22" s="293"/>
      <c r="F22" s="271"/>
      <c r="G22" s="273"/>
      <c r="H22" s="319">
        <f>D22*E28</f>
        <v>125580.00000000001</v>
      </c>
      <c r="I22" s="230"/>
      <c r="J22" s="230"/>
      <c r="N22" s="23"/>
    </row>
    <row r="23" spans="1:10" ht="12.75">
      <c r="A23" s="286" t="s">
        <v>123</v>
      </c>
      <c r="B23" s="262">
        <v>3500</v>
      </c>
      <c r="C23" s="262">
        <v>0.1</v>
      </c>
      <c r="D23" s="268">
        <f>B23*C23</f>
        <v>350</v>
      </c>
      <c r="E23" s="293"/>
      <c r="F23" s="271"/>
      <c r="G23" s="273"/>
      <c r="H23" s="319">
        <f>D23*E28</f>
        <v>5635.000000000001</v>
      </c>
      <c r="I23" s="230"/>
      <c r="J23" s="230"/>
    </row>
    <row r="24" spans="1:10" s="1" customFormat="1" ht="12.75">
      <c r="A24" s="278" t="s">
        <v>124</v>
      </c>
      <c r="B24" s="278"/>
      <c r="C24" s="278"/>
      <c r="D24" s="270">
        <f>SUM(D22:D23)</f>
        <v>8150</v>
      </c>
      <c r="E24" s="294"/>
      <c r="F24" s="272"/>
      <c r="G24" s="276"/>
      <c r="H24" s="320">
        <f>SUM(H22:H23)</f>
        <v>131215.00000000003</v>
      </c>
      <c r="I24" s="243"/>
      <c r="J24" s="243"/>
    </row>
    <row r="25" spans="1:10" s="1" customFormat="1" ht="12.75">
      <c r="A25" s="265" t="s">
        <v>152</v>
      </c>
      <c r="B25" s="278"/>
      <c r="C25" s="278"/>
      <c r="D25" s="269">
        <v>850</v>
      </c>
      <c r="E25" s="294"/>
      <c r="F25" s="272"/>
      <c r="G25" s="276"/>
      <c r="H25" s="326">
        <f>D25*E28</f>
        <v>13685.000000000002</v>
      </c>
      <c r="I25" s="243"/>
      <c r="J25" s="243"/>
    </row>
    <row r="26" spans="1:10" s="1" customFormat="1" ht="12.75">
      <c r="A26" s="265" t="s">
        <v>125</v>
      </c>
      <c r="B26" s="278"/>
      <c r="C26" s="278"/>
      <c r="D26" s="269">
        <v>345</v>
      </c>
      <c r="E26" s="294"/>
      <c r="F26" s="272"/>
      <c r="G26" s="276"/>
      <c r="H26" s="326">
        <f>D26*E28</f>
        <v>5554.500000000001</v>
      </c>
      <c r="I26" s="243"/>
      <c r="J26" s="243"/>
    </row>
    <row r="27" spans="1:10" ht="12.75">
      <c r="A27" s="286" t="s">
        <v>153</v>
      </c>
      <c r="B27" s="286"/>
      <c r="C27" s="286"/>
      <c r="D27" s="269">
        <v>280</v>
      </c>
      <c r="E27" s="293"/>
      <c r="F27" s="271"/>
      <c r="G27" s="273"/>
      <c r="H27" s="319">
        <f>D27*E28</f>
        <v>4508</v>
      </c>
      <c r="I27" s="230"/>
      <c r="J27" s="230"/>
    </row>
    <row r="28" spans="1:10" ht="12.75">
      <c r="A28" s="278" t="s">
        <v>6</v>
      </c>
      <c r="B28" s="278"/>
      <c r="C28" s="278"/>
      <c r="D28" s="270">
        <f>D24-D25-D26-D27</f>
        <v>6675</v>
      </c>
      <c r="E28" s="287">
        <v>16.1</v>
      </c>
      <c r="F28" s="272">
        <f>D28*E28</f>
        <v>107467.50000000001</v>
      </c>
      <c r="G28" s="273"/>
      <c r="H28" s="320">
        <f>H24-H25-H26-H27</f>
        <v>107467.50000000003</v>
      </c>
      <c r="I28" s="230"/>
      <c r="J28" s="230"/>
    </row>
    <row r="29" spans="1:10" ht="12.75">
      <c r="A29" s="283"/>
      <c r="B29" s="298"/>
      <c r="C29" s="298"/>
      <c r="D29" s="298"/>
      <c r="E29" s="298"/>
      <c r="F29" s="299"/>
      <c r="G29" s="273"/>
      <c r="H29" s="275"/>
      <c r="I29" s="230"/>
      <c r="J29" s="230"/>
    </row>
    <row r="30" spans="1:10" ht="12.75">
      <c r="A30" s="283" t="s">
        <v>308</v>
      </c>
      <c r="B30" s="284" t="s">
        <v>116</v>
      </c>
      <c r="C30" s="284" t="s">
        <v>117</v>
      </c>
      <c r="D30" s="284" t="s">
        <v>118</v>
      </c>
      <c r="E30" s="284"/>
      <c r="F30" s="292"/>
      <c r="G30" s="273"/>
      <c r="H30" s="275"/>
      <c r="I30" s="230"/>
      <c r="J30" s="230"/>
    </row>
    <row r="31" spans="1:10" ht="12.75">
      <c r="A31" s="286" t="s">
        <v>309</v>
      </c>
      <c r="B31" s="269">
        <v>4500</v>
      </c>
      <c r="C31" s="256">
        <v>1.2</v>
      </c>
      <c r="D31" s="268">
        <f>B31*C31</f>
        <v>5400</v>
      </c>
      <c r="E31" s="286"/>
      <c r="F31" s="271"/>
      <c r="G31" s="273"/>
      <c r="H31" s="319">
        <f>D31*E37</f>
        <v>8100</v>
      </c>
      <c r="I31" s="230"/>
      <c r="J31" s="230"/>
    </row>
    <row r="32" spans="1:10" ht="12.75">
      <c r="A32" s="286" t="s">
        <v>123</v>
      </c>
      <c r="B32" s="262">
        <v>0</v>
      </c>
      <c r="C32" s="262">
        <v>0</v>
      </c>
      <c r="D32" s="268">
        <f>B32*C32</f>
        <v>0</v>
      </c>
      <c r="E32" s="286"/>
      <c r="F32" s="271"/>
      <c r="G32" s="273"/>
      <c r="H32" s="319">
        <f>D32*E37</f>
        <v>0</v>
      </c>
      <c r="I32" s="230"/>
      <c r="J32" s="230"/>
    </row>
    <row r="33" spans="1:10" ht="12.75">
      <c r="A33" s="278" t="s">
        <v>124</v>
      </c>
      <c r="B33" s="278"/>
      <c r="C33" s="278"/>
      <c r="D33" s="270">
        <f>SUM(D31:D32)</f>
        <v>5400</v>
      </c>
      <c r="E33" s="278"/>
      <c r="F33" s="272"/>
      <c r="G33" s="273"/>
      <c r="H33" s="320">
        <f>SUM(H31:H32)</f>
        <v>8100</v>
      </c>
      <c r="I33" s="230"/>
      <c r="J33" s="230"/>
    </row>
    <row r="34" spans="1:10" ht="12.75">
      <c r="A34" s="265" t="s">
        <v>152</v>
      </c>
      <c r="B34" s="278"/>
      <c r="C34" s="278"/>
      <c r="D34" s="269">
        <v>140</v>
      </c>
      <c r="E34" s="278"/>
      <c r="F34" s="272"/>
      <c r="G34" s="273"/>
      <c r="H34" s="326">
        <f>D34*E37</f>
        <v>210</v>
      </c>
      <c r="I34" s="230"/>
      <c r="J34" s="230"/>
    </row>
    <row r="35" spans="1:10" ht="12.75">
      <c r="A35" s="265" t="s">
        <v>125</v>
      </c>
      <c r="B35" s="278"/>
      <c r="C35" s="278"/>
      <c r="D35" s="269">
        <v>120</v>
      </c>
      <c r="E35" s="278"/>
      <c r="F35" s="272"/>
      <c r="G35" s="273"/>
      <c r="H35" s="326">
        <f>D35*E37</f>
        <v>180</v>
      </c>
      <c r="I35" s="230"/>
      <c r="J35" s="230"/>
    </row>
    <row r="36" spans="1:10" ht="12.75">
      <c r="A36" s="286" t="s">
        <v>153</v>
      </c>
      <c r="B36" s="286"/>
      <c r="C36" s="286"/>
      <c r="D36" s="269">
        <v>165</v>
      </c>
      <c r="E36" s="286"/>
      <c r="F36" s="271"/>
      <c r="G36" s="273"/>
      <c r="H36" s="319">
        <f>D36*E37</f>
        <v>247.5</v>
      </c>
      <c r="I36" s="230"/>
      <c r="J36" s="230"/>
    </row>
    <row r="37" spans="1:14" ht="12.75">
      <c r="A37" s="278" t="s">
        <v>6</v>
      </c>
      <c r="B37" s="278"/>
      <c r="C37" s="278"/>
      <c r="D37" s="270">
        <f>D33-D34-D35-D36</f>
        <v>4975</v>
      </c>
      <c r="E37" s="287">
        <v>1.5</v>
      </c>
      <c r="F37" s="272">
        <f>D37*E37</f>
        <v>7462.5</v>
      </c>
      <c r="G37" s="273"/>
      <c r="H37" s="320">
        <f>H33-H34-H35-H36</f>
        <v>7462.5</v>
      </c>
      <c r="I37" s="230"/>
      <c r="J37" s="227"/>
      <c r="N37" s="4"/>
    </row>
    <row r="38" spans="1:10" ht="12.75">
      <c r="A38" s="279"/>
      <c r="B38" s="288"/>
      <c r="C38" s="288"/>
      <c r="D38" s="288"/>
      <c r="E38" s="289"/>
      <c r="F38" s="290"/>
      <c r="G38" s="273"/>
      <c r="H38" s="275"/>
      <c r="I38" s="230"/>
      <c r="J38" s="227"/>
    </row>
    <row r="39" spans="1:10" ht="12.75">
      <c r="A39" s="279" t="s">
        <v>307</v>
      </c>
      <c r="B39" s="284" t="s">
        <v>116</v>
      </c>
      <c r="C39" s="284" t="s">
        <v>117</v>
      </c>
      <c r="D39" s="284" t="s">
        <v>118</v>
      </c>
      <c r="E39" s="291"/>
      <c r="F39" s="292"/>
      <c r="G39" s="273"/>
      <c r="H39" s="275"/>
      <c r="I39" s="230"/>
      <c r="J39" s="227"/>
    </row>
    <row r="40" spans="1:10" ht="12.75">
      <c r="A40" s="262" t="s">
        <v>290</v>
      </c>
      <c r="B40" s="269">
        <v>7000</v>
      </c>
      <c r="C40" s="256">
        <v>1.25</v>
      </c>
      <c r="D40" s="268">
        <f>B40*C40</f>
        <v>8750</v>
      </c>
      <c r="E40" s="293"/>
      <c r="F40" s="271"/>
      <c r="G40" s="273"/>
      <c r="H40" s="319">
        <f>D40*E46</f>
        <v>98875</v>
      </c>
      <c r="I40" s="230"/>
      <c r="J40" s="227"/>
    </row>
    <row r="41" spans="1:10" ht="12.75">
      <c r="A41" s="262" t="s">
        <v>123</v>
      </c>
      <c r="B41" s="269"/>
      <c r="C41" s="262"/>
      <c r="D41" s="268">
        <f>B41*C41</f>
        <v>0</v>
      </c>
      <c r="E41" s="293"/>
      <c r="F41" s="271"/>
      <c r="G41" s="273"/>
      <c r="H41" s="319">
        <f>D41*E46</f>
        <v>0</v>
      </c>
      <c r="I41" s="230"/>
      <c r="J41" s="227"/>
    </row>
    <row r="42" spans="1:10" ht="12.75">
      <c r="A42" s="278" t="s">
        <v>124</v>
      </c>
      <c r="B42" s="278"/>
      <c r="C42" s="278"/>
      <c r="D42" s="270">
        <f>SUM(D40:D41)</f>
        <v>8750</v>
      </c>
      <c r="E42" s="294"/>
      <c r="F42" s="272"/>
      <c r="G42" s="273"/>
      <c r="H42" s="320">
        <f>SUM(H40:H41)</f>
        <v>98875</v>
      </c>
      <c r="I42" s="230"/>
      <c r="J42" s="227"/>
    </row>
    <row r="43" spans="1:14" ht="12.75">
      <c r="A43" s="265" t="s">
        <v>152</v>
      </c>
      <c r="B43" s="286"/>
      <c r="C43" s="286"/>
      <c r="D43" s="269">
        <v>315</v>
      </c>
      <c r="E43" s="293"/>
      <c r="F43" s="271"/>
      <c r="G43" s="273"/>
      <c r="H43" s="319">
        <f>D43*E46</f>
        <v>3559.5</v>
      </c>
      <c r="I43" s="230"/>
      <c r="J43" s="227"/>
      <c r="N43" s="4"/>
    </row>
    <row r="44" spans="1:11" ht="12.75">
      <c r="A44" s="265" t="s">
        <v>125</v>
      </c>
      <c r="B44" s="286"/>
      <c r="C44" s="286"/>
      <c r="D44" s="269">
        <v>664</v>
      </c>
      <c r="E44" s="293"/>
      <c r="F44" s="271"/>
      <c r="G44" s="273"/>
      <c r="H44" s="319">
        <f>D44*E46</f>
        <v>7503.200000000001</v>
      </c>
      <c r="I44" s="230"/>
      <c r="J44" s="235"/>
      <c r="K44" s="6"/>
    </row>
    <row r="45" spans="1:10" ht="12.75">
      <c r="A45" s="265" t="s">
        <v>153</v>
      </c>
      <c r="B45" s="286"/>
      <c r="C45" s="286"/>
      <c r="D45" s="269">
        <v>150</v>
      </c>
      <c r="E45" s="293"/>
      <c r="F45" s="271"/>
      <c r="G45" s="273"/>
      <c r="H45" s="319">
        <f>D45*E46</f>
        <v>1695</v>
      </c>
      <c r="I45" s="230"/>
      <c r="J45" s="230"/>
    </row>
    <row r="46" spans="1:10" ht="13.5" customHeight="1">
      <c r="A46" s="278" t="s">
        <v>6</v>
      </c>
      <c r="B46" s="278"/>
      <c r="C46" s="278"/>
      <c r="D46" s="270">
        <f>D42-D43-D44-D45</f>
        <v>7621</v>
      </c>
      <c r="E46" s="287">
        <v>11.3</v>
      </c>
      <c r="F46" s="272">
        <f>D46*E46</f>
        <v>86117.3</v>
      </c>
      <c r="G46" s="273"/>
      <c r="H46" s="320">
        <f>H42-H43-H44-H45</f>
        <v>86117.3</v>
      </c>
      <c r="I46" s="230"/>
      <c r="J46" s="230"/>
    </row>
    <row r="47" spans="1:10" ht="13.5" customHeight="1">
      <c r="A47" s="300"/>
      <c r="B47" s="300"/>
      <c r="C47" s="300"/>
      <c r="D47" s="274"/>
      <c r="E47" s="301"/>
      <c r="F47" s="302"/>
      <c r="G47" s="230"/>
      <c r="H47" s="274"/>
      <c r="I47" s="230"/>
      <c r="J47" s="230"/>
    </row>
    <row r="48" spans="1:10" ht="12.75">
      <c r="A48" s="303"/>
      <c r="B48" s="303"/>
      <c r="C48" s="303"/>
      <c r="D48" s="303"/>
      <c r="E48" s="297"/>
      <c r="F48" s="304"/>
      <c r="G48" s="230"/>
      <c r="H48" s="238"/>
      <c r="I48" s="230"/>
      <c r="J48" s="230"/>
    </row>
    <row r="49" spans="1:10" ht="12.75">
      <c r="A49" s="267" t="s">
        <v>372</v>
      </c>
      <c r="B49" s="266"/>
      <c r="C49" s="266"/>
      <c r="D49" s="284" t="s">
        <v>118</v>
      </c>
      <c r="E49" s="266"/>
      <c r="F49" s="305"/>
      <c r="G49" s="230"/>
      <c r="H49" s="239"/>
      <c r="I49" s="230"/>
      <c r="J49" s="230"/>
    </row>
    <row r="50" spans="1:10" ht="12.75">
      <c r="A50" s="265" t="s">
        <v>282</v>
      </c>
      <c r="B50" s="278"/>
      <c r="C50" s="278"/>
      <c r="D50" s="269">
        <v>2100</v>
      </c>
      <c r="E50" s="278"/>
      <c r="F50" s="306"/>
      <c r="G50" s="230"/>
      <c r="H50" s="319">
        <f>D50*E53</f>
        <v>16800</v>
      </c>
      <c r="I50" s="230"/>
      <c r="J50" s="230"/>
    </row>
    <row r="51" spans="1:10" ht="12.75">
      <c r="A51" s="262" t="s">
        <v>152</v>
      </c>
      <c r="B51" s="278"/>
      <c r="C51" s="278"/>
      <c r="D51" s="269">
        <v>0</v>
      </c>
      <c r="E51" s="278"/>
      <c r="F51" s="306"/>
      <c r="G51" s="230"/>
      <c r="H51" s="319">
        <f>D51*E53</f>
        <v>0</v>
      </c>
      <c r="I51" s="230"/>
      <c r="J51" s="230"/>
    </row>
    <row r="52" spans="1:10" ht="12.75">
      <c r="A52" s="262" t="s">
        <v>125</v>
      </c>
      <c r="B52" s="278"/>
      <c r="C52" s="278"/>
      <c r="D52" s="269">
        <v>0</v>
      </c>
      <c r="E52" s="278"/>
      <c r="F52" s="306"/>
      <c r="G52" s="230"/>
      <c r="H52" s="319">
        <f>D52*E53</f>
        <v>0</v>
      </c>
      <c r="I52" s="230"/>
      <c r="J52" s="230"/>
    </row>
    <row r="53" spans="1:11" ht="12.75">
      <c r="A53" s="278" t="s">
        <v>6</v>
      </c>
      <c r="B53" s="278"/>
      <c r="C53" s="278"/>
      <c r="D53" s="270">
        <f>D50-D51-D52</f>
        <v>2100</v>
      </c>
      <c r="E53" s="279">
        <v>8</v>
      </c>
      <c r="F53" s="384">
        <f>D53*E53</f>
        <v>16800</v>
      </c>
      <c r="G53" s="230"/>
      <c r="H53" s="320">
        <f>F53</f>
        <v>16800</v>
      </c>
      <c r="I53" s="230"/>
      <c r="J53" s="239"/>
      <c r="K53" s="6"/>
    </row>
    <row r="54" spans="1:11" ht="12.75" hidden="1">
      <c r="A54" s="279" t="s">
        <v>126</v>
      </c>
      <c r="B54" s="278"/>
      <c r="C54" s="278"/>
      <c r="D54" s="307" t="s">
        <v>118</v>
      </c>
      <c r="E54" s="278"/>
      <c r="F54" s="306"/>
      <c r="G54" s="230"/>
      <c r="H54" s="275"/>
      <c r="I54" s="230"/>
      <c r="J54" s="239"/>
      <c r="K54" s="6"/>
    </row>
    <row r="55" spans="1:11" ht="12.75" hidden="1">
      <c r="A55" s="265" t="s">
        <v>126</v>
      </c>
      <c r="B55" s="278"/>
      <c r="C55" s="278"/>
      <c r="D55" s="269">
        <v>0</v>
      </c>
      <c r="E55" s="278"/>
      <c r="F55" s="306"/>
      <c r="G55" s="230"/>
      <c r="H55" s="268">
        <f>D55*E60</f>
        <v>0</v>
      </c>
      <c r="I55" s="230"/>
      <c r="J55" s="239"/>
      <c r="K55" s="6"/>
    </row>
    <row r="56" spans="1:11" ht="12.75" hidden="1">
      <c r="A56" s="265" t="s">
        <v>155</v>
      </c>
      <c r="B56" s="278"/>
      <c r="C56" s="278"/>
      <c r="D56" s="269">
        <v>0</v>
      </c>
      <c r="E56" s="278"/>
      <c r="F56" s="306"/>
      <c r="G56" s="230"/>
      <c r="H56" s="268">
        <f>D56*E60</f>
        <v>0</v>
      </c>
      <c r="I56" s="230"/>
      <c r="J56" s="239"/>
      <c r="K56" s="6"/>
    </row>
    <row r="57" spans="1:11" ht="12.75" hidden="1">
      <c r="A57" s="278" t="s">
        <v>124</v>
      </c>
      <c r="B57" s="278"/>
      <c r="C57" s="278"/>
      <c r="D57" s="270">
        <f>SUM(D55:D56)</f>
        <v>0</v>
      </c>
      <c r="E57" s="278"/>
      <c r="F57" s="306"/>
      <c r="G57" s="230"/>
      <c r="H57" s="270">
        <f>SUM(H55:H56)</f>
        <v>0</v>
      </c>
      <c r="I57" s="230"/>
      <c r="J57" s="239"/>
      <c r="K57" s="6"/>
    </row>
    <row r="58" spans="1:11" ht="12.75" hidden="1">
      <c r="A58" s="265" t="s">
        <v>156</v>
      </c>
      <c r="B58" s="278"/>
      <c r="C58" s="278"/>
      <c r="D58" s="269">
        <v>0</v>
      </c>
      <c r="E58" s="278"/>
      <c r="F58" s="306"/>
      <c r="G58" s="230"/>
      <c r="H58" s="268">
        <f>D58*E60</f>
        <v>0</v>
      </c>
      <c r="I58" s="230"/>
      <c r="J58" s="239"/>
      <c r="K58" s="6"/>
    </row>
    <row r="59" spans="1:11" ht="12.75" hidden="1">
      <c r="A59" s="265" t="s">
        <v>153</v>
      </c>
      <c r="B59" s="278"/>
      <c r="C59" s="278"/>
      <c r="D59" s="269">
        <v>0</v>
      </c>
      <c r="E59" s="278"/>
      <c r="F59" s="306"/>
      <c r="G59" s="230"/>
      <c r="H59" s="268">
        <f>D59*E60</f>
        <v>0</v>
      </c>
      <c r="I59" s="230"/>
      <c r="J59" s="239"/>
      <c r="K59" s="6"/>
    </row>
    <row r="60" spans="1:10" ht="12.75" hidden="1">
      <c r="A60" s="308" t="s">
        <v>6</v>
      </c>
      <c r="B60" s="308"/>
      <c r="C60" s="308"/>
      <c r="D60" s="309">
        <f>D57-D58-D59</f>
        <v>0</v>
      </c>
      <c r="E60" s="310">
        <v>0</v>
      </c>
      <c r="F60" s="311">
        <f>D60*E60</f>
        <v>0</v>
      </c>
      <c r="G60" s="230"/>
      <c r="H60" s="309">
        <f>H57-H58-H59</f>
        <v>0</v>
      </c>
      <c r="I60" s="230"/>
      <c r="J60" s="230"/>
    </row>
    <row r="61" spans="1:10" ht="12.75">
      <c r="A61" s="300"/>
      <c r="B61" s="300"/>
      <c r="C61" s="300"/>
      <c r="D61" s="274"/>
      <c r="E61" s="301"/>
      <c r="F61" s="302"/>
      <c r="G61" s="230"/>
      <c r="H61" s="280">
        <f>H6+H15+H24+H33+H42+H50</f>
        <v>765710</v>
      </c>
      <c r="I61" s="230"/>
      <c r="J61" s="230"/>
    </row>
    <row r="62" spans="1:10" s="2" customFormat="1" ht="12.75">
      <c r="A62" s="249" t="s">
        <v>127</v>
      </c>
      <c r="B62" s="263"/>
      <c r="C62" s="263"/>
      <c r="D62" s="312" t="s">
        <v>193</v>
      </c>
      <c r="E62" s="385">
        <f>SUM(E10:E53)</f>
        <v>95.7</v>
      </c>
      <c r="F62" s="272">
        <f>F10+F19+F28+F37+F46+F53</f>
        <v>638267.3</v>
      </c>
      <c r="G62" s="228"/>
      <c r="H62" s="320">
        <f>H10+H19+H28+H37+H46+H53</f>
        <v>638267.3</v>
      </c>
      <c r="I62" s="228"/>
      <c r="J62" s="228"/>
    </row>
    <row r="63" spans="1:11" ht="12.75">
      <c r="A63" s="230"/>
      <c r="B63" s="230"/>
      <c r="C63" s="230"/>
      <c r="D63" s="230"/>
      <c r="E63" s="230"/>
      <c r="F63" s="230"/>
      <c r="G63" s="230"/>
      <c r="H63" s="239"/>
      <c r="I63" s="230"/>
      <c r="J63" s="239"/>
      <c r="K63" s="6"/>
    </row>
    <row r="64" spans="1:10" ht="12.75">
      <c r="A64" s="226" t="s">
        <v>208</v>
      </c>
      <c r="B64" s="230"/>
      <c r="C64" s="230"/>
      <c r="D64" s="230" t="str">
        <f>IF(E64="","","Difference")</f>
        <v>Difference</v>
      </c>
      <c r="E64" s="246">
        <f>IF(Start!E23-Mark!E62=0,"",Start!E23-Mark!E62)</f>
        <v>0.29999999999999716</v>
      </c>
      <c r="F64" s="230"/>
      <c r="G64" s="230"/>
      <c r="H64" s="239"/>
      <c r="I64" s="230"/>
      <c r="J64" s="230"/>
    </row>
    <row r="65" spans="1:10" ht="12.75">
      <c r="A65" s="230"/>
      <c r="B65" s="230"/>
      <c r="C65" s="230"/>
      <c r="D65" s="230"/>
      <c r="E65" s="230"/>
      <c r="F65" s="230"/>
      <c r="G65" s="230"/>
      <c r="H65" s="239"/>
      <c r="I65" s="230"/>
      <c r="J65" s="230"/>
    </row>
    <row r="66" spans="1:10" ht="12.75">
      <c r="A66" s="230"/>
      <c r="B66" s="230"/>
      <c r="C66" s="230"/>
      <c r="D66" s="230"/>
      <c r="E66" s="230"/>
      <c r="F66" s="230"/>
      <c r="G66" s="230"/>
      <c r="H66" s="239"/>
      <c r="I66" s="230"/>
      <c r="J66" s="230"/>
    </row>
    <row r="67" spans="1:10" ht="12.75">
      <c r="A67" s="230"/>
      <c r="B67" s="230"/>
      <c r="C67" s="230"/>
      <c r="D67" s="230"/>
      <c r="E67" s="230"/>
      <c r="F67" s="230"/>
      <c r="G67" s="230"/>
      <c r="H67" s="239"/>
      <c r="I67" s="230"/>
      <c r="J67" s="230"/>
    </row>
    <row r="68" spans="1:10" ht="12.75">
      <c r="A68" s="230"/>
      <c r="B68" s="230"/>
      <c r="C68" s="230"/>
      <c r="D68" s="230"/>
      <c r="E68" s="230"/>
      <c r="F68" s="230"/>
      <c r="G68" s="230"/>
      <c r="H68" s="239"/>
      <c r="I68" s="230"/>
      <c r="J68" s="230"/>
    </row>
    <row r="69" spans="1:10" ht="12.75">
      <c r="A69" s="230"/>
      <c r="B69" s="230"/>
      <c r="C69" s="230"/>
      <c r="D69" s="230"/>
      <c r="E69" s="230"/>
      <c r="F69" s="230"/>
      <c r="G69" s="230"/>
      <c r="H69" s="239"/>
      <c r="I69" s="230"/>
      <c r="J69" s="230"/>
    </row>
    <row r="70" spans="1:10" ht="12.75">
      <c r="A70" s="230"/>
      <c r="B70" s="230"/>
      <c r="C70" s="230"/>
      <c r="D70" s="230"/>
      <c r="E70" s="230"/>
      <c r="F70" s="230"/>
      <c r="G70" s="230"/>
      <c r="H70" s="239"/>
      <c r="I70" s="230"/>
      <c r="J70" s="230"/>
    </row>
    <row r="71" spans="1:10" ht="12.75">
      <c r="A71" s="230"/>
      <c r="B71" s="230"/>
      <c r="C71" s="230"/>
      <c r="D71" s="230"/>
      <c r="E71" s="230"/>
      <c r="F71" s="230"/>
      <c r="G71" s="230"/>
      <c r="H71" s="239"/>
      <c r="I71" s="230"/>
      <c r="J71" s="230"/>
    </row>
    <row r="72" spans="1:10" ht="12.75">
      <c r="A72" s="230"/>
      <c r="B72" s="230"/>
      <c r="C72" s="230"/>
      <c r="D72" s="230"/>
      <c r="E72" s="230"/>
      <c r="F72" s="230"/>
      <c r="G72" s="230"/>
      <c r="H72" s="239"/>
      <c r="I72" s="230"/>
      <c r="J72" s="230"/>
    </row>
    <row r="73" spans="1:10" ht="12.75">
      <c r="A73" s="230"/>
      <c r="B73" s="230"/>
      <c r="C73" s="230"/>
      <c r="D73" s="230"/>
      <c r="E73" s="230"/>
      <c r="F73" s="230"/>
      <c r="G73" s="230"/>
      <c r="H73" s="239"/>
      <c r="I73" s="230"/>
      <c r="J73" s="230"/>
    </row>
    <row r="74" spans="1:10" ht="12.75">
      <c r="A74" s="230"/>
      <c r="B74" s="230"/>
      <c r="C74" s="230"/>
      <c r="D74" s="230"/>
      <c r="E74" s="230"/>
      <c r="F74" s="230"/>
      <c r="G74" s="230"/>
      <c r="H74" s="239"/>
      <c r="I74" s="230"/>
      <c r="J74" s="230"/>
    </row>
    <row r="75" spans="1:10" ht="12.75">
      <c r="A75" s="230"/>
      <c r="B75" s="230"/>
      <c r="C75" s="230"/>
      <c r="D75" s="230"/>
      <c r="E75" s="230"/>
      <c r="F75" s="230"/>
      <c r="G75" s="230"/>
      <c r="H75" s="239"/>
      <c r="I75" s="230"/>
      <c r="J75" s="230"/>
    </row>
    <row r="76" spans="1:10" ht="12.75">
      <c r="A76" s="230"/>
      <c r="B76" s="230"/>
      <c r="C76" s="230"/>
      <c r="D76" s="230"/>
      <c r="E76" s="230"/>
      <c r="F76" s="230"/>
      <c r="G76" s="230"/>
      <c r="H76" s="239"/>
      <c r="I76" s="230"/>
      <c r="J76" s="230"/>
    </row>
    <row r="77" spans="1:10" ht="12.75">
      <c r="A77" s="230"/>
      <c r="B77" s="230"/>
      <c r="C77" s="230"/>
      <c r="D77" s="230"/>
      <c r="E77" s="230"/>
      <c r="F77" s="230"/>
      <c r="G77" s="230"/>
      <c r="H77" s="239"/>
      <c r="I77" s="230"/>
      <c r="J77" s="230"/>
    </row>
    <row r="78" spans="1:10" ht="12.75">
      <c r="A78" s="230"/>
      <c r="B78" s="230"/>
      <c r="C78" s="230"/>
      <c r="D78" s="230"/>
      <c r="E78" s="230"/>
      <c r="F78" s="230"/>
      <c r="G78" s="230"/>
      <c r="H78" s="239"/>
      <c r="I78" s="230"/>
      <c r="J78" s="230"/>
    </row>
    <row r="79" spans="1:10" ht="12.75">
      <c r="A79" s="230"/>
      <c r="B79" s="230"/>
      <c r="C79" s="230"/>
      <c r="D79" s="230"/>
      <c r="E79" s="230"/>
      <c r="F79" s="230"/>
      <c r="G79" s="230"/>
      <c r="H79" s="239"/>
      <c r="I79" s="230"/>
      <c r="J79" s="230"/>
    </row>
    <row r="80" spans="1:10" ht="12.75">
      <c r="A80" s="230"/>
      <c r="B80" s="230"/>
      <c r="C80" s="230"/>
      <c r="D80" s="230"/>
      <c r="E80" s="230"/>
      <c r="F80" s="230"/>
      <c r="G80" s="230"/>
      <c r="H80" s="239"/>
      <c r="I80" s="230"/>
      <c r="J80" s="230"/>
    </row>
    <row r="81" spans="1:10" ht="12.75">
      <c r="A81" s="230"/>
      <c r="B81" s="230"/>
      <c r="C81" s="230"/>
      <c r="D81" s="230"/>
      <c r="E81" s="230"/>
      <c r="F81" s="230"/>
      <c r="G81" s="230"/>
      <c r="H81" s="239"/>
      <c r="I81" s="230"/>
      <c r="J81" s="230"/>
    </row>
    <row r="82" spans="1:10" ht="12.75">
      <c r="A82" s="230"/>
      <c r="B82" s="230"/>
      <c r="C82" s="230"/>
      <c r="D82" s="230"/>
      <c r="E82" s="230"/>
      <c r="F82" s="230"/>
      <c r="G82" s="230"/>
      <c r="H82" s="239"/>
      <c r="I82" s="230"/>
      <c r="J82" s="230"/>
    </row>
    <row r="83" spans="1:10" ht="12.75">
      <c r="A83" s="230"/>
      <c r="B83" s="230"/>
      <c r="C83" s="230"/>
      <c r="D83" s="230"/>
      <c r="E83" s="230"/>
      <c r="F83" s="230"/>
      <c r="G83" s="230"/>
      <c r="H83" s="239"/>
      <c r="I83" s="230"/>
      <c r="J83" s="230"/>
    </row>
    <row r="84" spans="1:10" ht="12.75">
      <c r="A84" s="230"/>
      <c r="B84" s="230"/>
      <c r="C84" s="230"/>
      <c r="D84" s="230"/>
      <c r="E84" s="230"/>
      <c r="F84" s="230"/>
      <c r="G84" s="230"/>
      <c r="H84" s="239"/>
      <c r="I84" s="230"/>
      <c r="J84" s="230"/>
    </row>
    <row r="85" spans="1:10" ht="12.75">
      <c r="A85" s="230"/>
      <c r="B85" s="230"/>
      <c r="C85" s="230"/>
      <c r="D85" s="230"/>
      <c r="E85" s="230"/>
      <c r="F85" s="230"/>
      <c r="G85" s="230"/>
      <c r="H85" s="239"/>
      <c r="I85" s="230"/>
      <c r="J85" s="230"/>
    </row>
    <row r="86" spans="1:10" ht="12.75">
      <c r="A86" s="230"/>
      <c r="B86" s="230"/>
      <c r="C86" s="230"/>
      <c r="D86" s="230"/>
      <c r="E86" s="230"/>
      <c r="F86" s="230"/>
      <c r="G86" s="230"/>
      <c r="H86" s="239"/>
      <c r="I86" s="230"/>
      <c r="J86" s="230"/>
    </row>
    <row r="87" spans="1:10" ht="12.75">
      <c r="A87" s="230"/>
      <c r="B87" s="230"/>
      <c r="C87" s="230"/>
      <c r="D87" s="230"/>
      <c r="E87" s="230"/>
      <c r="F87" s="230"/>
      <c r="G87" s="230"/>
      <c r="H87" s="239"/>
      <c r="I87" s="230"/>
      <c r="J87" s="230"/>
    </row>
  </sheetData>
  <sheetProtection sheet="1"/>
  <hyperlinks>
    <hyperlink ref="A1" location="Start!A1" display="&lt;"/>
    <hyperlink ref="A64" location="Start!A1" display="&lt;"/>
  </hyperlinks>
  <printOptions/>
  <pageMargins left="0.75" right="0.75" top="1" bottom="1" header="0.5" footer="0.5"/>
  <pageSetup horizontalDpi="600" verticalDpi="600" orientation="portrait" paperSize="9" r:id="rId3"/>
  <headerFooter alignWithMargins="0">
    <oddFooter>&amp;L&amp;D&amp;C
</oddFooter>
  </headerFooter>
  <legacyDrawing r:id="rId2"/>
</worksheet>
</file>

<file path=xl/worksheets/sheet5.xml><?xml version="1.0" encoding="utf-8"?>
<worksheet xmlns="http://schemas.openxmlformats.org/spreadsheetml/2006/main" xmlns:r="http://schemas.openxmlformats.org/officeDocument/2006/relationships">
  <dimension ref="A1:I76"/>
  <sheetViews>
    <sheetView showGridLines="0" zoomScalePageLayoutView="0" workbookViewId="0" topLeftCell="A20">
      <selection activeCell="D28" sqref="D28"/>
    </sheetView>
  </sheetViews>
  <sheetFormatPr defaultColWidth="9.140625" defaultRowHeight="12.75"/>
  <cols>
    <col min="1" max="1" width="23.28125" style="0" customWidth="1"/>
    <col min="2" max="2" width="5.8515625" style="0" customWidth="1"/>
    <col min="3" max="3" width="8.00390625" style="0" customWidth="1"/>
    <col min="4" max="4" width="8.7109375" style="0" customWidth="1"/>
    <col min="5" max="5" width="10.7109375" style="0" customWidth="1"/>
    <col min="6" max="6" width="1.7109375" style="0" customWidth="1"/>
    <col min="7" max="7" width="10.7109375" style="6" customWidth="1"/>
    <col min="8" max="8" width="2.8515625" style="0" customWidth="1"/>
    <col min="9" max="9" width="9.140625" style="332" customWidth="1"/>
    <col min="10" max="10" width="12.7109375" style="332" customWidth="1"/>
    <col min="11" max="11" width="10.7109375" style="332" customWidth="1"/>
    <col min="12" max="12" width="9.8515625" style="332" customWidth="1"/>
    <col min="14" max="14" width="9.00390625" style="0" customWidth="1"/>
  </cols>
  <sheetData>
    <row r="1" spans="1:9" ht="15">
      <c r="A1" s="541" t="s">
        <v>388</v>
      </c>
      <c r="B1" s="479"/>
      <c r="C1" s="512"/>
      <c r="D1" s="513"/>
      <c r="E1" s="274"/>
      <c r="F1" s="273"/>
      <c r="G1" s="275"/>
      <c r="H1" s="230"/>
      <c r="I1" s="247"/>
    </row>
    <row r="2" spans="1:9" ht="12.75">
      <c r="A2" s="425"/>
      <c r="B2" s="529"/>
      <c r="C2" s="512"/>
      <c r="D2" s="543" t="s">
        <v>321</v>
      </c>
      <c r="E2" s="542">
        <v>4.2</v>
      </c>
      <c r="F2" s="273"/>
      <c r="G2" s="275"/>
      <c r="H2" s="230"/>
      <c r="I2" s="247"/>
    </row>
    <row r="3" spans="1:9" ht="12.75">
      <c r="A3" s="425"/>
      <c r="B3" s="529"/>
      <c r="C3" s="528"/>
      <c r="D3" s="543" t="s">
        <v>353</v>
      </c>
      <c r="E3" s="542">
        <v>3.4</v>
      </c>
      <c r="F3" s="273"/>
      <c r="G3" s="275"/>
      <c r="H3" s="230"/>
      <c r="I3" s="247"/>
    </row>
    <row r="4" spans="1:9" ht="12.75">
      <c r="A4" s="425"/>
      <c r="B4" s="529"/>
      <c r="C4" s="528"/>
      <c r="D4" s="530"/>
      <c r="E4" s="531"/>
      <c r="F4" s="273"/>
      <c r="G4" s="275"/>
      <c r="H4" s="230"/>
      <c r="I4" s="247"/>
    </row>
    <row r="5" spans="1:8" ht="12.75">
      <c r="A5" s="482" t="s">
        <v>322</v>
      </c>
      <c r="B5" s="483"/>
      <c r="C5" s="483" t="s">
        <v>362</v>
      </c>
      <c r="D5" s="483" t="s">
        <v>117</v>
      </c>
      <c r="E5" s="483" t="s">
        <v>157</v>
      </c>
      <c r="F5" s="243"/>
      <c r="G5" s="484" t="s">
        <v>121</v>
      </c>
      <c r="H5" s="230"/>
    </row>
    <row r="6" spans="1:8" ht="12.75">
      <c r="A6" s="265" t="s">
        <v>354</v>
      </c>
      <c r="B6" s="534" t="s">
        <v>323</v>
      </c>
      <c r="C6" s="485">
        <v>8300</v>
      </c>
      <c r="D6" s="486">
        <v>2.173</v>
      </c>
      <c r="E6" s="487">
        <f>C6*D6</f>
        <v>18035.9</v>
      </c>
      <c r="F6" s="230"/>
      <c r="G6" s="319">
        <f>E6*$C$50</f>
        <v>1803590.0000000002</v>
      </c>
      <c r="H6" s="230"/>
    </row>
    <row r="7" spans="1:8" ht="12.75">
      <c r="A7" s="265" t="s">
        <v>355</v>
      </c>
      <c r="B7" s="534" t="s">
        <v>323</v>
      </c>
      <c r="C7" s="532">
        <f>C6</f>
        <v>8300</v>
      </c>
      <c r="D7" s="486">
        <v>0.05</v>
      </c>
      <c r="E7" s="487">
        <f>C7*D7</f>
        <v>415</v>
      </c>
      <c r="F7" s="230"/>
      <c r="G7" s="319">
        <f>E7*$C$50</f>
        <v>41500</v>
      </c>
      <c r="H7" s="230"/>
    </row>
    <row r="8" spans="1:8" ht="12.75">
      <c r="A8" s="265" t="s">
        <v>356</v>
      </c>
      <c r="B8" s="534" t="s">
        <v>323</v>
      </c>
      <c r="C8" s="532">
        <f>C6</f>
        <v>8300</v>
      </c>
      <c r="D8" s="486">
        <v>0</v>
      </c>
      <c r="E8" s="487">
        <f>C8*D8</f>
        <v>0</v>
      </c>
      <c r="F8" s="230"/>
      <c r="G8" s="319">
        <f>E8*$C$50</f>
        <v>0</v>
      </c>
      <c r="H8" s="230"/>
    </row>
    <row r="9" spans="1:8" ht="12.75">
      <c r="A9" s="265" t="s">
        <v>140</v>
      </c>
      <c r="B9" s="534" t="s">
        <v>363</v>
      </c>
      <c r="C9" s="532">
        <f>C6</f>
        <v>8300</v>
      </c>
      <c r="D9" s="262">
        <v>0.12</v>
      </c>
      <c r="E9" s="487">
        <f>C9*D9</f>
        <v>996</v>
      </c>
      <c r="F9" s="230"/>
      <c r="G9" s="319">
        <f>E9*$C$50</f>
        <v>99600</v>
      </c>
      <c r="H9" s="230"/>
    </row>
    <row r="10" spans="1:8" ht="12.75">
      <c r="A10" s="265" t="s">
        <v>29</v>
      </c>
      <c r="B10" s="534" t="s">
        <v>323</v>
      </c>
      <c r="C10" s="532">
        <f>C6</f>
        <v>8300</v>
      </c>
      <c r="D10" s="262">
        <v>0.01</v>
      </c>
      <c r="E10" s="487">
        <f>C10*D10</f>
        <v>83</v>
      </c>
      <c r="F10" s="230"/>
      <c r="G10" s="319">
        <f>E10*$C$50</f>
        <v>8300</v>
      </c>
      <c r="H10" s="230"/>
    </row>
    <row r="11" spans="1:8" ht="12.75">
      <c r="A11" s="548" t="s">
        <v>400</v>
      </c>
      <c r="B11" s="534"/>
      <c r="C11" s="532"/>
      <c r="D11" s="551">
        <f>SUM(D6:D10)-D9</f>
        <v>2.2329999999999997</v>
      </c>
      <c r="E11" s="487"/>
      <c r="F11" s="230"/>
      <c r="G11" s="319"/>
      <c r="H11" s="230"/>
    </row>
    <row r="12" spans="1:8" ht="12.75">
      <c r="A12" s="278" t="s">
        <v>347</v>
      </c>
      <c r="B12" s="262"/>
      <c r="C12" s="481"/>
      <c r="D12" s="547"/>
      <c r="E12" s="384">
        <f>SUM(E6:E10)</f>
        <v>19529.9</v>
      </c>
      <c r="F12" s="230"/>
      <c r="G12" s="320">
        <f>SUM(G6:G10)</f>
        <v>1952990.0000000002</v>
      </c>
      <c r="H12" s="230"/>
    </row>
    <row r="13" spans="1:8" ht="12.75">
      <c r="A13" s="265" t="s">
        <v>357</v>
      </c>
      <c r="B13" s="534" t="s">
        <v>331</v>
      </c>
      <c r="C13" s="262">
        <v>0.42</v>
      </c>
      <c r="D13" s="485">
        <v>5290</v>
      </c>
      <c r="E13" s="487">
        <f>C13*D13</f>
        <v>2221.7999999999997</v>
      </c>
      <c r="F13" s="230"/>
      <c r="G13" s="319">
        <f>E13*$C$50</f>
        <v>222179.99999999997</v>
      </c>
      <c r="H13" s="230"/>
    </row>
    <row r="14" spans="1:8" ht="12.75">
      <c r="A14" s="265" t="s">
        <v>358</v>
      </c>
      <c r="B14" s="533" t="s">
        <v>331</v>
      </c>
      <c r="C14" s="262">
        <v>0.05</v>
      </c>
      <c r="D14" s="485">
        <v>4878</v>
      </c>
      <c r="E14" s="487">
        <f>C14*D14</f>
        <v>243.9</v>
      </c>
      <c r="F14" s="230"/>
      <c r="G14" s="319">
        <f>E14*$C$50</f>
        <v>24390</v>
      </c>
      <c r="H14" s="230"/>
    </row>
    <row r="15" spans="1:8" ht="12.75">
      <c r="A15" s="548" t="s">
        <v>394</v>
      </c>
      <c r="B15" s="533" t="s">
        <v>331</v>
      </c>
      <c r="C15" s="489">
        <v>0.53</v>
      </c>
      <c r="D15" s="269">
        <v>460</v>
      </c>
      <c r="E15" s="487">
        <f>C15*D15</f>
        <v>243.8</v>
      </c>
      <c r="F15" s="230"/>
      <c r="G15" s="319">
        <f>E15*$C$50</f>
        <v>24380</v>
      </c>
      <c r="H15" s="230"/>
    </row>
    <row r="16" spans="1:8" ht="12.75">
      <c r="A16" s="265" t="s">
        <v>359</v>
      </c>
      <c r="B16" s="533" t="s">
        <v>323</v>
      </c>
      <c r="C16" s="262">
        <v>134</v>
      </c>
      <c r="D16" s="486">
        <v>2.01</v>
      </c>
      <c r="E16" s="487">
        <f>C16*D16</f>
        <v>269.34</v>
      </c>
      <c r="F16" s="230"/>
      <c r="G16" s="319">
        <f>E16*$C$50</f>
        <v>26933.999999999996</v>
      </c>
      <c r="H16" s="230"/>
    </row>
    <row r="17" spans="1:8" ht="12.75">
      <c r="A17" s="490" t="s">
        <v>360</v>
      </c>
      <c r="B17" s="491"/>
      <c r="C17" s="492"/>
      <c r="D17" s="526"/>
      <c r="E17" s="487"/>
      <c r="F17" s="230"/>
      <c r="G17" s="485">
        <v>0</v>
      </c>
      <c r="H17" s="230"/>
    </row>
    <row r="18" spans="1:8" ht="12.75">
      <c r="A18" s="249" t="s">
        <v>361</v>
      </c>
      <c r="B18" s="263"/>
      <c r="C18" s="493" t="e">
        <f>A19+E32-E19</f>
        <v>#DIV/0!</v>
      </c>
      <c r="D18" s="494"/>
      <c r="E18" s="495">
        <f>SUM(E12:E17)</f>
        <v>22508.74</v>
      </c>
      <c r="F18" s="243"/>
      <c r="G18" s="320">
        <f>SUM(G12:G17)</f>
        <v>2250874</v>
      </c>
      <c r="H18" s="230"/>
    </row>
    <row r="19" spans="1:8" ht="12.75">
      <c r="A19" s="496" t="e">
        <f>'[1]Føls.'!H116/'[1]Kvæg'!C110</f>
        <v>#DIV/0!</v>
      </c>
      <c r="B19" s="235"/>
      <c r="C19" s="244">
        <f>'[1]Føls.'!H114-'[1]Kvæg'!E136-'[1]Kvæg'!E161</f>
        <v>0</v>
      </c>
      <c r="D19" s="497">
        <f>(C19)/C50+E32-E19</f>
        <v>-11498.370000000003</v>
      </c>
      <c r="E19" s="498">
        <f>SUM(E9:E17)</f>
        <v>23587.74</v>
      </c>
      <c r="F19" s="230"/>
      <c r="G19" s="239"/>
      <c r="H19" s="230"/>
    </row>
    <row r="20" spans="1:8" ht="12.75">
      <c r="A20" s="482" t="s">
        <v>324</v>
      </c>
      <c r="B20" s="483"/>
      <c r="C20" s="483" t="s">
        <v>325</v>
      </c>
      <c r="D20" s="483" t="s">
        <v>117</v>
      </c>
      <c r="E20" s="499" t="s">
        <v>157</v>
      </c>
      <c r="F20" s="230"/>
      <c r="G20" s="239"/>
      <c r="H20" s="230"/>
    </row>
    <row r="21" spans="1:8" ht="12.75">
      <c r="A21" s="265" t="s">
        <v>389</v>
      </c>
      <c r="B21" s="535" t="s">
        <v>323</v>
      </c>
      <c r="C21" s="269">
        <v>409</v>
      </c>
      <c r="D21" s="262">
        <v>1.96</v>
      </c>
      <c r="E21" s="271">
        <f>C21*D21</f>
        <v>801.64</v>
      </c>
      <c r="F21" s="230"/>
      <c r="G21" s="319">
        <f>E21*$C$50</f>
        <v>80164</v>
      </c>
      <c r="H21" s="230"/>
    </row>
    <row r="22" spans="1:8" ht="12.75">
      <c r="A22" s="265" t="s">
        <v>364</v>
      </c>
      <c r="B22" s="535" t="s">
        <v>323</v>
      </c>
      <c r="C22" s="269">
        <v>322</v>
      </c>
      <c r="D22" s="256">
        <v>2.4</v>
      </c>
      <c r="E22" s="271">
        <f aca="true" t="shared" si="0" ref="E22:E31">C22*D22</f>
        <v>772.8</v>
      </c>
      <c r="F22" s="230"/>
      <c r="G22" s="319">
        <f aca="true" t="shared" si="1" ref="G22:G31">E22*$C$50</f>
        <v>77280</v>
      </c>
      <c r="H22" s="230"/>
    </row>
    <row r="23" spans="1:8" ht="12.75">
      <c r="A23" s="265" t="s">
        <v>365</v>
      </c>
      <c r="B23" s="535" t="s">
        <v>323</v>
      </c>
      <c r="C23" s="269">
        <v>869</v>
      </c>
      <c r="D23" s="256">
        <v>1.45</v>
      </c>
      <c r="E23" s="271">
        <f t="shared" si="0"/>
        <v>1260.05</v>
      </c>
      <c r="F23" s="230"/>
      <c r="G23" s="319">
        <f t="shared" si="1"/>
        <v>126005</v>
      </c>
      <c r="H23" s="230"/>
    </row>
    <row r="24" spans="1:8" ht="12.75">
      <c r="A24" s="265" t="s">
        <v>366</v>
      </c>
      <c r="B24" s="535" t="s">
        <v>323</v>
      </c>
      <c r="C24" s="269">
        <v>496</v>
      </c>
      <c r="D24" s="537">
        <v>1.4</v>
      </c>
      <c r="E24" s="271">
        <f t="shared" si="0"/>
        <v>694.4</v>
      </c>
      <c r="F24" s="230"/>
      <c r="G24" s="319">
        <f t="shared" si="1"/>
        <v>69440</v>
      </c>
      <c r="H24" s="230"/>
    </row>
    <row r="25" spans="1:8" ht="12.75">
      <c r="A25" s="265" t="s">
        <v>367</v>
      </c>
      <c r="B25" s="535" t="s">
        <v>323</v>
      </c>
      <c r="C25" s="269">
        <v>52</v>
      </c>
      <c r="D25" s="537">
        <v>1.65</v>
      </c>
      <c r="E25" s="271">
        <f t="shared" si="0"/>
        <v>85.8</v>
      </c>
      <c r="F25" s="230"/>
      <c r="G25" s="319">
        <f t="shared" si="1"/>
        <v>8580</v>
      </c>
      <c r="H25" s="230"/>
    </row>
    <row r="26" spans="1:8" ht="12.75">
      <c r="A26" s="265" t="s">
        <v>368</v>
      </c>
      <c r="B26" s="535" t="s">
        <v>323</v>
      </c>
      <c r="C26" s="269">
        <v>134</v>
      </c>
      <c r="D26" s="537">
        <v>2.02</v>
      </c>
      <c r="E26" s="271">
        <f t="shared" si="0"/>
        <v>270.68</v>
      </c>
      <c r="F26" s="230"/>
      <c r="G26" s="319">
        <f t="shared" si="1"/>
        <v>27068</v>
      </c>
      <c r="H26" s="230"/>
    </row>
    <row r="27" spans="1:8" ht="12.75">
      <c r="A27" s="265" t="s">
        <v>369</v>
      </c>
      <c r="B27" s="535" t="s">
        <v>323</v>
      </c>
      <c r="C27" s="269"/>
      <c r="D27" s="256"/>
      <c r="E27" s="269">
        <v>370</v>
      </c>
      <c r="F27" s="230"/>
      <c r="G27" s="319">
        <f t="shared" si="1"/>
        <v>37000</v>
      </c>
      <c r="H27" s="230"/>
    </row>
    <row r="28" spans="1:8" ht="12.75">
      <c r="A28" s="265" t="s">
        <v>370</v>
      </c>
      <c r="B28" s="535" t="s">
        <v>323</v>
      </c>
      <c r="C28" s="536"/>
      <c r="D28" s="256"/>
      <c r="E28" s="269">
        <v>190</v>
      </c>
      <c r="F28" s="230"/>
      <c r="G28" s="319">
        <f t="shared" si="1"/>
        <v>19000</v>
      </c>
      <c r="H28" s="230"/>
    </row>
    <row r="29" spans="1:8" ht="12.75">
      <c r="A29" s="265" t="s">
        <v>371</v>
      </c>
      <c r="B29" s="535" t="s">
        <v>374</v>
      </c>
      <c r="C29" s="269">
        <v>3190</v>
      </c>
      <c r="D29" s="256">
        <v>1.2</v>
      </c>
      <c r="E29" s="271">
        <f t="shared" si="0"/>
        <v>3828</v>
      </c>
      <c r="F29" s="230"/>
      <c r="G29" s="319">
        <f t="shared" si="1"/>
        <v>382800</v>
      </c>
      <c r="H29" s="230"/>
    </row>
    <row r="30" spans="1:8" ht="12.75">
      <c r="A30" s="265" t="s">
        <v>372</v>
      </c>
      <c r="B30" s="535" t="s">
        <v>374</v>
      </c>
      <c r="C30" s="269">
        <v>1350</v>
      </c>
      <c r="D30" s="256">
        <v>1.2</v>
      </c>
      <c r="E30" s="271">
        <f t="shared" si="0"/>
        <v>1620</v>
      </c>
      <c r="F30" s="230"/>
      <c r="G30" s="319">
        <f t="shared" si="1"/>
        <v>162000</v>
      </c>
      <c r="H30" s="230"/>
    </row>
    <row r="31" spans="1:8" ht="12.75">
      <c r="A31" s="265" t="s">
        <v>373</v>
      </c>
      <c r="B31" s="535" t="s">
        <v>374</v>
      </c>
      <c r="C31" s="269">
        <v>1830</v>
      </c>
      <c r="D31" s="256">
        <v>1.2</v>
      </c>
      <c r="E31" s="271">
        <f t="shared" si="0"/>
        <v>2196</v>
      </c>
      <c r="F31" s="230"/>
      <c r="G31" s="319">
        <f t="shared" si="1"/>
        <v>219600</v>
      </c>
      <c r="H31" s="230"/>
    </row>
    <row r="32" spans="1:8" ht="12.75">
      <c r="A32" s="501" t="s">
        <v>375</v>
      </c>
      <c r="B32" s="482"/>
      <c r="C32" s="502"/>
      <c r="D32" s="482"/>
      <c r="E32" s="272">
        <f>SUM(E21:E31)</f>
        <v>12089.369999999999</v>
      </c>
      <c r="F32" s="243"/>
      <c r="G32" s="320">
        <f>SUM(G21:G31)</f>
        <v>1208937</v>
      </c>
      <c r="H32" s="230"/>
    </row>
    <row r="33" spans="1:8" ht="12.75">
      <c r="A33" s="228"/>
      <c r="B33" s="228"/>
      <c r="C33" s="228"/>
      <c r="D33" s="228"/>
      <c r="E33" s="503"/>
      <c r="F33" s="243"/>
      <c r="G33" s="238"/>
      <c r="H33" s="230"/>
    </row>
    <row r="34" spans="1:8" ht="12.75">
      <c r="A34" s="527" t="s">
        <v>376</v>
      </c>
      <c r="B34" s="482"/>
      <c r="C34" s="482"/>
      <c r="D34" s="482"/>
      <c r="E34" s="269">
        <v>44</v>
      </c>
      <c r="F34" s="243"/>
      <c r="G34" s="540">
        <f>$C$50*E34</f>
        <v>4400</v>
      </c>
      <c r="H34" s="230"/>
    </row>
    <row r="35" spans="1:8" ht="12.75">
      <c r="A35" s="527" t="s">
        <v>377</v>
      </c>
      <c r="B35" s="482"/>
      <c r="C35" s="482"/>
      <c r="D35" s="482"/>
      <c r="E35" s="269">
        <v>630</v>
      </c>
      <c r="F35" s="243"/>
      <c r="G35" s="540">
        <f aca="true" t="shared" si="2" ref="G35:G43">$C$50*E35</f>
        <v>63000</v>
      </c>
      <c r="H35" s="230"/>
    </row>
    <row r="36" spans="1:8" ht="12.75">
      <c r="A36" s="527" t="s">
        <v>378</v>
      </c>
      <c r="B36" s="482"/>
      <c r="C36" s="482"/>
      <c r="D36" s="482"/>
      <c r="E36" s="269">
        <v>345</v>
      </c>
      <c r="F36" s="243"/>
      <c r="G36" s="540">
        <f t="shared" si="2"/>
        <v>34500</v>
      </c>
      <c r="H36" s="230"/>
    </row>
    <row r="37" spans="1:8" ht="12.75">
      <c r="A37" s="527" t="s">
        <v>379</v>
      </c>
      <c r="B37" s="482"/>
      <c r="C37" s="482"/>
      <c r="D37" s="482"/>
      <c r="E37" s="269">
        <v>1</v>
      </c>
      <c r="F37" s="243"/>
      <c r="G37" s="540">
        <f t="shared" si="2"/>
        <v>100</v>
      </c>
      <c r="H37" s="230"/>
    </row>
    <row r="38" spans="1:8" ht="12.75">
      <c r="A38" s="527" t="s">
        <v>380</v>
      </c>
      <c r="B38" s="482"/>
      <c r="C38" s="482"/>
      <c r="D38" s="482"/>
      <c r="E38" s="269">
        <v>475</v>
      </c>
      <c r="F38" s="243"/>
      <c r="G38" s="540">
        <f t="shared" si="2"/>
        <v>47500</v>
      </c>
      <c r="H38" s="230"/>
    </row>
    <row r="39" spans="1:8" ht="12.75">
      <c r="A39" s="527" t="s">
        <v>381</v>
      </c>
      <c r="B39" s="482"/>
      <c r="C39" s="482"/>
      <c r="D39" s="482"/>
      <c r="E39" s="269">
        <v>280</v>
      </c>
      <c r="F39" s="243"/>
      <c r="G39" s="540">
        <f t="shared" si="2"/>
        <v>28000</v>
      </c>
      <c r="H39" s="230"/>
    </row>
    <row r="40" spans="1:8" ht="12.75">
      <c r="A40" s="527" t="s">
        <v>382</v>
      </c>
      <c r="B40" s="482"/>
      <c r="C40" s="482"/>
      <c r="D40" s="482"/>
      <c r="E40" s="269">
        <v>275</v>
      </c>
      <c r="F40" s="243"/>
      <c r="G40" s="540">
        <f t="shared" si="2"/>
        <v>27500</v>
      </c>
      <c r="H40" s="230"/>
    </row>
    <row r="41" spans="1:8" ht="12.75">
      <c r="A41" s="527" t="s">
        <v>383</v>
      </c>
      <c r="B41" s="482"/>
      <c r="C41" s="482"/>
      <c r="D41" s="482"/>
      <c r="E41" s="269">
        <v>190</v>
      </c>
      <c r="F41" s="243"/>
      <c r="G41" s="540">
        <f t="shared" si="2"/>
        <v>19000</v>
      </c>
      <c r="H41" s="230"/>
    </row>
    <row r="42" spans="1:8" ht="12.75">
      <c r="A42" s="527" t="s">
        <v>384</v>
      </c>
      <c r="B42" s="482"/>
      <c r="C42" s="482"/>
      <c r="D42" s="482"/>
      <c r="E42" s="269">
        <v>170</v>
      </c>
      <c r="F42" s="243"/>
      <c r="G42" s="540">
        <f t="shared" si="2"/>
        <v>17000</v>
      </c>
      <c r="H42" s="230"/>
    </row>
    <row r="43" spans="1:8" ht="12.75">
      <c r="A43" s="527" t="s">
        <v>385</v>
      </c>
      <c r="B43" s="482"/>
      <c r="C43" s="482"/>
      <c r="D43" s="482"/>
      <c r="E43" s="269">
        <v>170</v>
      </c>
      <c r="F43" s="243"/>
      <c r="G43" s="540">
        <f t="shared" si="2"/>
        <v>17000</v>
      </c>
      <c r="H43" s="230"/>
    </row>
    <row r="44" spans="1:8" ht="12.75">
      <c r="A44" s="482" t="s">
        <v>386</v>
      </c>
      <c r="B44" s="482"/>
      <c r="C44" s="482"/>
      <c r="D44" s="482"/>
      <c r="E44" s="539">
        <f>SUM(E34:E43)</f>
        <v>2580</v>
      </c>
      <c r="F44" s="243"/>
      <c r="G44" s="502">
        <f>SUM(G34:G43)</f>
        <v>258000</v>
      </c>
      <c r="H44" s="230"/>
    </row>
    <row r="45" spans="1:8" ht="12.75">
      <c r="A45" s="482" t="s">
        <v>387</v>
      </c>
      <c r="B45" s="249"/>
      <c r="C45" s="263"/>
      <c r="D45" s="494"/>
      <c r="E45" s="539">
        <f>E32+E44</f>
        <v>14669.369999999999</v>
      </c>
      <c r="F45" s="243"/>
      <c r="G45" s="502">
        <f>G32+G44</f>
        <v>1466937</v>
      </c>
      <c r="H45" s="230"/>
    </row>
    <row r="46" spans="1:8" ht="12.75">
      <c r="A46" s="538"/>
      <c r="B46" s="228"/>
      <c r="C46" s="228"/>
      <c r="D46" s="228"/>
      <c r="E46" s="503"/>
      <c r="F46" s="243"/>
      <c r="G46" s="238"/>
      <c r="H46" s="230"/>
    </row>
    <row r="47" spans="1:8" ht="12.75">
      <c r="A47" s="249" t="s">
        <v>328</v>
      </c>
      <c r="B47" s="250"/>
      <c r="C47" s="250"/>
      <c r="D47" s="250"/>
      <c r="E47" s="504">
        <f>E18-E32</f>
        <v>10419.370000000003</v>
      </c>
      <c r="F47" s="230"/>
      <c r="G47" s="235"/>
      <c r="H47" s="230"/>
    </row>
    <row r="48" spans="1:8" ht="12.75">
      <c r="A48" s="249" t="s">
        <v>329</v>
      </c>
      <c r="B48" s="263"/>
      <c r="C48" s="263"/>
      <c r="D48" s="505"/>
      <c r="E48" s="506">
        <f>IF(C50=0,0,(E47/C6*(E2*0.383+E3*0.242+0.7832)/3.14))</f>
        <v>1.2851702402731953</v>
      </c>
      <c r="F48" s="243"/>
      <c r="G48" s="238"/>
      <c r="H48" s="230"/>
    </row>
    <row r="49" spans="1:8" ht="12.75">
      <c r="A49" s="227"/>
      <c r="B49" s="227"/>
      <c r="C49" s="227"/>
      <c r="D49" s="227"/>
      <c r="E49" s="227"/>
      <c r="F49" s="230"/>
      <c r="G49" s="235"/>
      <c r="H49" s="230"/>
    </row>
    <row r="50" spans="1:8" ht="12.75">
      <c r="A50" s="249" t="s">
        <v>330</v>
      </c>
      <c r="B50" s="263"/>
      <c r="C50" s="507">
        <f>Start!E24</f>
        <v>100</v>
      </c>
      <c r="D50" s="263" t="s">
        <v>331</v>
      </c>
      <c r="E50" s="508">
        <f>E18-E45</f>
        <v>7839.370000000003</v>
      </c>
      <c r="F50" s="230"/>
      <c r="G50" s="320">
        <f>G18-G45</f>
        <v>783937</v>
      </c>
      <c r="H50" s="230"/>
    </row>
    <row r="51" spans="1:8" ht="12.75">
      <c r="A51" s="230"/>
      <c r="B51" s="230"/>
      <c r="C51" s="230"/>
      <c r="D51" s="230"/>
      <c r="E51" s="230"/>
      <c r="F51" s="230"/>
      <c r="G51" s="239"/>
      <c r="H51" s="273"/>
    </row>
    <row r="52" spans="1:8" ht="12.75">
      <c r="A52" s="509" t="s">
        <v>208</v>
      </c>
      <c r="B52" s="230"/>
      <c r="C52" s="230"/>
      <c r="D52" s="230"/>
      <c r="E52" s="273"/>
      <c r="F52" s="230"/>
      <c r="G52" s="239"/>
      <c r="H52" s="230"/>
    </row>
    <row r="53" spans="1:8" ht="15">
      <c r="A53" s="515" t="s">
        <v>349</v>
      </c>
      <c r="B53" s="544" t="s">
        <v>392</v>
      </c>
      <c r="C53" s="544"/>
      <c r="D53" s="250"/>
      <c r="E53" s="251"/>
      <c r="F53" s="230"/>
      <c r="G53" s="510"/>
      <c r="H53" s="230"/>
    </row>
    <row r="54" spans="1:8" ht="12.75">
      <c r="A54" s="516" t="s">
        <v>340</v>
      </c>
      <c r="B54" s="517"/>
      <c r="C54" s="517" t="s">
        <v>341</v>
      </c>
      <c r="D54" s="260"/>
      <c r="E54" s="518"/>
      <c r="F54" s="230"/>
      <c r="G54" s="510"/>
      <c r="H54" s="230"/>
    </row>
    <row r="55" spans="1:8" ht="12.75">
      <c r="A55" s="265" t="s">
        <v>332</v>
      </c>
      <c r="B55" s="519">
        <v>0.07</v>
      </c>
      <c r="C55" s="511"/>
      <c r="D55" s="511"/>
      <c r="E55" s="511"/>
      <c r="F55" s="230"/>
      <c r="G55" s="239"/>
      <c r="H55" s="230"/>
    </row>
    <row r="56" spans="1:8" ht="12.75">
      <c r="A56" s="482" t="s">
        <v>322</v>
      </c>
      <c r="B56" s="514" t="s">
        <v>116</v>
      </c>
      <c r="C56" s="483" t="s">
        <v>323</v>
      </c>
      <c r="D56" s="483" t="s">
        <v>117</v>
      </c>
      <c r="E56" s="483" t="s">
        <v>16</v>
      </c>
      <c r="F56" s="230"/>
      <c r="G56" s="275"/>
      <c r="H56" s="230"/>
    </row>
    <row r="57" spans="1:8" ht="12.75">
      <c r="A57" s="265" t="s">
        <v>342</v>
      </c>
      <c r="B57" s="488">
        <f>(100-(B55/2*100))/100</f>
        <v>0.965</v>
      </c>
      <c r="C57" s="262">
        <v>221</v>
      </c>
      <c r="D57" s="256">
        <v>15.5</v>
      </c>
      <c r="E57" s="268">
        <f>B57*C57*D57</f>
        <v>3305.6074999999996</v>
      </c>
      <c r="F57" s="230"/>
      <c r="G57" s="319">
        <f>E57*C72</f>
        <v>0</v>
      </c>
      <c r="H57" s="230"/>
    </row>
    <row r="58" spans="1:8" ht="12.75">
      <c r="A58" s="490" t="s">
        <v>333</v>
      </c>
      <c r="B58" s="491">
        <f>((B55/2*100)+100)/100</f>
        <v>1.035</v>
      </c>
      <c r="C58" s="520">
        <v>40</v>
      </c>
      <c r="D58" s="492">
        <v>900</v>
      </c>
      <c r="E58" s="268">
        <f>D58*B58*-1</f>
        <v>-931.4999999999999</v>
      </c>
      <c r="F58" s="230"/>
      <c r="G58" s="319">
        <f>E58*C72</f>
        <v>0</v>
      </c>
      <c r="H58" s="230"/>
    </row>
    <row r="59" spans="1:8" ht="12.75">
      <c r="A59" s="249" t="s">
        <v>124</v>
      </c>
      <c r="B59" s="250"/>
      <c r="C59" s="250"/>
      <c r="D59" s="521"/>
      <c r="E59" s="270">
        <f>SUM(E57:E58)</f>
        <v>2374.1074999999996</v>
      </c>
      <c r="F59" s="230"/>
      <c r="G59" s="320">
        <f>SUM(G57:G58)</f>
        <v>0</v>
      </c>
      <c r="H59" s="230"/>
    </row>
    <row r="60" spans="1:8" ht="12.75">
      <c r="A60" s="228"/>
      <c r="B60" s="522"/>
      <c r="C60" s="227"/>
      <c r="D60" s="523"/>
      <c r="E60" s="238"/>
      <c r="F60" s="240"/>
      <c r="G60" s="275"/>
      <c r="H60" s="230"/>
    </row>
    <row r="61" spans="1:8" ht="12.75">
      <c r="A61" s="482" t="s">
        <v>324</v>
      </c>
      <c r="B61" s="483" t="s">
        <v>323</v>
      </c>
      <c r="C61" s="483" t="s">
        <v>325</v>
      </c>
      <c r="D61" s="524" t="s">
        <v>117</v>
      </c>
      <c r="E61" s="525" t="s">
        <v>16</v>
      </c>
      <c r="F61" s="230"/>
      <c r="G61" s="275"/>
      <c r="H61" s="230"/>
    </row>
    <row r="62" spans="1:8" ht="12.75">
      <c r="A62" s="265" t="s">
        <v>334</v>
      </c>
      <c r="B62" s="485">
        <v>103</v>
      </c>
      <c r="C62" s="485">
        <v>100</v>
      </c>
      <c r="D62" s="256">
        <v>1.71</v>
      </c>
      <c r="E62" s="500">
        <f>B62*D62</f>
        <v>176.13</v>
      </c>
      <c r="F62" s="230"/>
      <c r="G62" s="319">
        <f>E62*C72</f>
        <v>0</v>
      </c>
      <c r="H62" s="230"/>
    </row>
    <row r="63" spans="1:8" ht="12.75">
      <c r="A63" s="265" t="s">
        <v>343</v>
      </c>
      <c r="B63" s="262">
        <v>890</v>
      </c>
      <c r="C63" s="262">
        <v>856</v>
      </c>
      <c r="D63" s="256">
        <v>1.4</v>
      </c>
      <c r="E63" s="500">
        <f>B63*D63</f>
        <v>1246</v>
      </c>
      <c r="F63" s="230"/>
      <c r="G63" s="319">
        <f>E63*C72</f>
        <v>0</v>
      </c>
      <c r="H63" s="230"/>
    </row>
    <row r="64" spans="1:8" ht="12.75">
      <c r="A64" s="265" t="s">
        <v>326</v>
      </c>
      <c r="B64" s="262">
        <v>891</v>
      </c>
      <c r="C64" s="262">
        <v>857</v>
      </c>
      <c r="D64" s="262">
        <v>0.95</v>
      </c>
      <c r="E64" s="500">
        <f>B64*D64</f>
        <v>846.4499999999999</v>
      </c>
      <c r="F64" s="230"/>
      <c r="G64" s="319">
        <f>E64*C72</f>
        <v>0</v>
      </c>
      <c r="H64" s="230"/>
    </row>
    <row r="65" spans="1:8" ht="12.75">
      <c r="A65" s="265" t="s">
        <v>335</v>
      </c>
      <c r="B65" s="262">
        <v>136</v>
      </c>
      <c r="C65" s="262">
        <v>35</v>
      </c>
      <c r="D65" s="262">
        <v>2.41</v>
      </c>
      <c r="E65" s="500">
        <f>B65*D65</f>
        <v>327.76</v>
      </c>
      <c r="F65" s="230"/>
      <c r="G65" s="319">
        <f>E65*C72</f>
        <v>0</v>
      </c>
      <c r="H65" s="230"/>
    </row>
    <row r="66" spans="1:8" ht="12.75">
      <c r="A66" s="265" t="s">
        <v>336</v>
      </c>
      <c r="B66" s="488"/>
      <c r="C66" s="262"/>
      <c r="D66" s="262"/>
      <c r="E66" s="269">
        <v>130</v>
      </c>
      <c r="F66" s="230"/>
      <c r="G66" s="319">
        <f>E66*C72</f>
        <v>0</v>
      </c>
      <c r="H66" s="230"/>
    </row>
    <row r="67" spans="1:8" ht="12.75">
      <c r="A67" s="265" t="s">
        <v>337</v>
      </c>
      <c r="B67" s="262"/>
      <c r="C67" s="262"/>
      <c r="D67" s="262"/>
      <c r="E67" s="269">
        <v>120</v>
      </c>
      <c r="F67" s="230"/>
      <c r="G67" s="319">
        <f>E67*C72</f>
        <v>0</v>
      </c>
      <c r="H67" s="230"/>
    </row>
    <row r="68" spans="1:8" ht="12.75">
      <c r="A68" s="482" t="s">
        <v>327</v>
      </c>
      <c r="B68" s="480"/>
      <c r="C68" s="504">
        <f>SUM(C62:C67)</f>
        <v>1848</v>
      </c>
      <c r="D68" s="480"/>
      <c r="E68" s="270">
        <f>SUM(E62:E67)</f>
        <v>2846.34</v>
      </c>
      <c r="F68" s="230"/>
      <c r="G68" s="320">
        <f>SUM(G62:G67)</f>
        <v>0</v>
      </c>
      <c r="H68" s="230"/>
    </row>
    <row r="69" spans="1:8" ht="12.75">
      <c r="A69" s="227"/>
      <c r="B69" s="227"/>
      <c r="C69" s="227"/>
      <c r="D69" s="227"/>
      <c r="E69" s="235"/>
      <c r="F69" s="230"/>
      <c r="G69" s="275"/>
      <c r="H69" s="230"/>
    </row>
    <row r="70" spans="1:8" ht="12.75">
      <c r="A70" s="249" t="s">
        <v>338</v>
      </c>
      <c r="B70" s="263"/>
      <c r="C70" s="263"/>
      <c r="D70" s="494"/>
      <c r="E70" s="270">
        <f>E59-E68</f>
        <v>-472.2325000000005</v>
      </c>
      <c r="F70" s="243"/>
      <c r="G70" s="277"/>
      <c r="H70" s="230"/>
    </row>
    <row r="71" spans="1:8" ht="12.75">
      <c r="A71" s="227"/>
      <c r="B71" s="227"/>
      <c r="C71" s="227"/>
      <c r="D71" s="227"/>
      <c r="E71" s="512"/>
      <c r="F71" s="230"/>
      <c r="G71" s="275"/>
      <c r="H71" s="230"/>
    </row>
    <row r="72" spans="1:8" ht="12.75">
      <c r="A72" s="249" t="s">
        <v>344</v>
      </c>
      <c r="B72" s="263"/>
      <c r="C72" s="507">
        <f>Start!E27</f>
        <v>0</v>
      </c>
      <c r="D72" s="494" t="s">
        <v>339</v>
      </c>
      <c r="E72" s="272"/>
      <c r="F72" s="243"/>
      <c r="G72" s="320">
        <f>G59-G68</f>
        <v>0</v>
      </c>
      <c r="H72" s="230"/>
    </row>
    <row r="73" spans="1:8" ht="12.75">
      <c r="A73" s="230"/>
      <c r="B73" s="230"/>
      <c r="C73" s="230"/>
      <c r="D73" s="230"/>
      <c r="E73" s="273"/>
      <c r="F73" s="230"/>
      <c r="G73" s="275"/>
      <c r="H73" s="230"/>
    </row>
    <row r="74" spans="1:8" ht="12.75">
      <c r="A74" s="226"/>
      <c r="B74" s="230"/>
      <c r="C74" s="230"/>
      <c r="D74" s="230"/>
      <c r="E74" s="230"/>
      <c r="F74" s="230"/>
      <c r="G74" s="239"/>
      <c r="H74" s="230"/>
    </row>
    <row r="75" ht="12.75">
      <c r="A75" s="561" t="s">
        <v>415</v>
      </c>
    </row>
    <row r="76" ht="12.75">
      <c r="A76" s="561" t="s">
        <v>416</v>
      </c>
    </row>
  </sheetData>
  <sheetProtection/>
  <hyperlinks>
    <hyperlink ref="A52" location="Start!A1" display="&lt;"/>
  </hyperlinks>
  <printOptions/>
  <pageMargins left="1.1811023622047245" right="0.7874015748031497" top="0.984251968503937" bottom="0.984251968503937" header="0.5118110236220472" footer="0.5118110236220472"/>
  <pageSetup horizontalDpi="600" verticalDpi="600" orientation="portrait" paperSize="9" r:id="rId1"/>
  <headerFooter alignWithMargins="0">
    <oddFooter>&amp;L&amp;D</oddFooter>
  </headerFooter>
</worksheet>
</file>

<file path=xl/worksheets/sheet6.xml><?xml version="1.0" encoding="utf-8"?>
<worksheet xmlns="http://schemas.openxmlformats.org/spreadsheetml/2006/main" xmlns:r="http://schemas.openxmlformats.org/officeDocument/2006/relationships">
  <dimension ref="A1:K30"/>
  <sheetViews>
    <sheetView zoomScalePageLayoutView="0" workbookViewId="0" topLeftCell="A1">
      <selection activeCell="L10" sqref="L10"/>
    </sheetView>
  </sheetViews>
  <sheetFormatPr defaultColWidth="9.140625" defaultRowHeight="12.75"/>
  <cols>
    <col min="7" max="7" width="10.7109375" style="6" customWidth="1"/>
    <col min="8" max="8" width="2.140625" style="0" customWidth="1"/>
    <col min="9" max="9" width="10.7109375" style="6" customWidth="1"/>
    <col min="10" max="10" width="4.8515625" style="0" customWidth="1"/>
  </cols>
  <sheetData>
    <row r="1" spans="1:10" ht="12.75">
      <c r="A1" s="223" t="s">
        <v>208</v>
      </c>
      <c r="I1" s="6" t="s">
        <v>182</v>
      </c>
      <c r="J1" s="345">
        <v>1</v>
      </c>
    </row>
    <row r="4" spans="1:9" ht="12.75">
      <c r="A4" s="339" t="s">
        <v>226</v>
      </c>
      <c r="B4" s="340"/>
      <c r="C4" s="340"/>
      <c r="D4" s="340"/>
      <c r="E4" s="340"/>
      <c r="F4" s="340"/>
      <c r="G4" s="341"/>
      <c r="I4" s="418" t="s">
        <v>311</v>
      </c>
    </row>
    <row r="5" spans="1:9" ht="12.75">
      <c r="A5" s="342"/>
      <c r="B5" s="342"/>
      <c r="C5" s="342"/>
      <c r="D5" s="342"/>
      <c r="E5" s="342"/>
      <c r="F5" s="342"/>
      <c r="G5" s="342"/>
      <c r="H5" s="4"/>
      <c r="I5" s="446">
        <v>0</v>
      </c>
    </row>
    <row r="6" spans="1:9" ht="12.75">
      <c r="A6" s="468" t="s">
        <v>350</v>
      </c>
      <c r="B6" s="342"/>
      <c r="C6" s="342"/>
      <c r="D6" s="342"/>
      <c r="E6" s="342"/>
      <c r="F6" s="342"/>
      <c r="G6" s="342"/>
      <c r="H6" s="4"/>
      <c r="I6" s="446">
        <v>0</v>
      </c>
    </row>
    <row r="7" spans="1:9" ht="12.75">
      <c r="A7" s="342"/>
      <c r="B7" s="342"/>
      <c r="C7" s="342"/>
      <c r="D7" s="342"/>
      <c r="E7" s="342"/>
      <c r="F7" s="342"/>
      <c r="G7" s="342"/>
      <c r="H7" s="4"/>
      <c r="I7" s="446">
        <v>0</v>
      </c>
    </row>
    <row r="8" spans="1:9" ht="12.75">
      <c r="A8" s="342"/>
      <c r="B8" s="342"/>
      <c r="C8" s="342"/>
      <c r="D8" s="342"/>
      <c r="E8" s="342"/>
      <c r="F8" s="342"/>
      <c r="G8" s="342"/>
      <c r="H8" s="4"/>
      <c r="I8" s="446">
        <v>0</v>
      </c>
    </row>
    <row r="9" spans="1:9" ht="12.75">
      <c r="A9" s="342"/>
      <c r="B9" s="342"/>
      <c r="C9" s="342"/>
      <c r="D9" s="342"/>
      <c r="E9" s="342"/>
      <c r="F9" s="342"/>
      <c r="G9" s="342"/>
      <c r="H9" s="4"/>
      <c r="I9" s="446">
        <v>0</v>
      </c>
    </row>
    <row r="10" spans="1:11" ht="12.75">
      <c r="A10" s="342"/>
      <c r="B10" s="342"/>
      <c r="C10" s="342"/>
      <c r="D10" s="342"/>
      <c r="E10" s="342"/>
      <c r="F10" s="342"/>
      <c r="G10" s="342"/>
      <c r="H10" s="4"/>
      <c r="I10" s="446">
        <v>0</v>
      </c>
      <c r="K10" s="4"/>
    </row>
    <row r="11" spans="1:9" ht="12.75">
      <c r="A11" s="342"/>
      <c r="B11" s="342"/>
      <c r="C11" s="342"/>
      <c r="D11" s="342"/>
      <c r="E11" s="342"/>
      <c r="F11" s="342"/>
      <c r="G11" s="342"/>
      <c r="H11" s="4"/>
      <c r="I11" s="446">
        <v>0</v>
      </c>
    </row>
    <row r="12" spans="1:9" ht="12.75">
      <c r="A12" s="342"/>
      <c r="B12" s="342"/>
      <c r="C12" s="342"/>
      <c r="D12" s="342"/>
      <c r="E12" s="342"/>
      <c r="F12" s="342"/>
      <c r="G12" s="342"/>
      <c r="H12" s="4"/>
      <c r="I12" s="446">
        <v>0</v>
      </c>
    </row>
    <row r="13" spans="1:9" ht="12.75">
      <c r="A13" s="342"/>
      <c r="B13" s="342"/>
      <c r="C13" s="342"/>
      <c r="D13" s="342"/>
      <c r="E13" s="342"/>
      <c r="F13" s="342"/>
      <c r="G13" s="342"/>
      <c r="H13" s="4"/>
      <c r="I13" s="446">
        <v>0</v>
      </c>
    </row>
    <row r="14" spans="1:9" ht="12.75">
      <c r="A14" s="342"/>
      <c r="B14" s="342"/>
      <c r="C14" s="342"/>
      <c r="D14" s="342"/>
      <c r="E14" s="342"/>
      <c r="F14" s="342"/>
      <c r="G14" s="342"/>
      <c r="H14" s="4"/>
      <c r="I14" s="446">
        <v>0</v>
      </c>
    </row>
    <row r="15" spans="1:9" ht="12.75">
      <c r="A15" s="336" t="s">
        <v>97</v>
      </c>
      <c r="B15" s="337"/>
      <c r="C15" s="337"/>
      <c r="D15" s="337"/>
      <c r="E15" s="337"/>
      <c r="F15" s="337"/>
      <c r="G15" s="338"/>
      <c r="I15" s="22">
        <f>SUM(I5:I14)</f>
        <v>0</v>
      </c>
    </row>
    <row r="17" spans="1:7" ht="12.75">
      <c r="A17" s="336" t="s">
        <v>225</v>
      </c>
      <c r="B17" s="337"/>
      <c r="C17" s="337"/>
      <c r="D17" s="337"/>
      <c r="E17" s="337"/>
      <c r="F17" s="337"/>
      <c r="G17" s="338"/>
    </row>
    <row r="18" spans="1:9" ht="12.75">
      <c r="A18" s="342" t="s">
        <v>310</v>
      </c>
      <c r="B18" s="342"/>
      <c r="C18" s="342"/>
      <c r="D18" s="342"/>
      <c r="E18" s="342"/>
      <c r="F18" s="342"/>
      <c r="G18" s="342"/>
      <c r="H18" s="4"/>
      <c r="I18" s="446">
        <v>0</v>
      </c>
    </row>
    <row r="19" spans="1:9" ht="12.75">
      <c r="A19" s="342"/>
      <c r="B19" s="342"/>
      <c r="C19" s="342"/>
      <c r="D19" s="342"/>
      <c r="E19" s="342"/>
      <c r="F19" s="342"/>
      <c r="G19" s="342"/>
      <c r="H19" s="4"/>
      <c r="I19" s="446">
        <v>0</v>
      </c>
    </row>
    <row r="20" spans="1:9" ht="12.75">
      <c r="A20" s="342"/>
      <c r="B20" s="342"/>
      <c r="C20" s="342"/>
      <c r="D20" s="342"/>
      <c r="E20" s="342"/>
      <c r="F20" s="342"/>
      <c r="G20" s="342"/>
      <c r="H20" s="4"/>
      <c r="I20" s="446">
        <v>0</v>
      </c>
    </row>
    <row r="21" spans="1:9" ht="12.75">
      <c r="A21" s="342"/>
      <c r="B21" s="342"/>
      <c r="C21" s="342"/>
      <c r="D21" s="342"/>
      <c r="E21" s="342"/>
      <c r="F21" s="342"/>
      <c r="G21" s="342"/>
      <c r="H21" s="4"/>
      <c r="I21" s="446">
        <v>0</v>
      </c>
    </row>
    <row r="22" spans="1:9" ht="12.75">
      <c r="A22" s="342"/>
      <c r="B22" s="342"/>
      <c r="C22" s="342"/>
      <c r="D22" s="342"/>
      <c r="E22" s="342"/>
      <c r="F22" s="342"/>
      <c r="G22" s="342"/>
      <c r="H22" s="4"/>
      <c r="I22" s="446">
        <v>0</v>
      </c>
    </row>
    <row r="23" spans="1:9" ht="12.75">
      <c r="A23" s="342"/>
      <c r="B23" s="342"/>
      <c r="C23" s="342"/>
      <c r="D23" s="342"/>
      <c r="E23" s="342"/>
      <c r="F23" s="342"/>
      <c r="G23" s="342"/>
      <c r="H23" s="4"/>
      <c r="I23" s="446">
        <v>0</v>
      </c>
    </row>
    <row r="24" spans="1:9" ht="12.75">
      <c r="A24" s="342"/>
      <c r="B24" s="342"/>
      <c r="C24" s="342"/>
      <c r="D24" s="342"/>
      <c r="E24" s="342"/>
      <c r="F24" s="342"/>
      <c r="G24" s="342"/>
      <c r="H24" s="4"/>
      <c r="I24" s="446">
        <v>0</v>
      </c>
    </row>
    <row r="25" spans="1:9" ht="12.75">
      <c r="A25" s="342"/>
      <c r="B25" s="342"/>
      <c r="C25" s="342"/>
      <c r="D25" s="342"/>
      <c r="E25" s="342"/>
      <c r="F25" s="342"/>
      <c r="G25" s="342"/>
      <c r="H25" s="4"/>
      <c r="I25" s="446">
        <v>0</v>
      </c>
    </row>
    <row r="26" spans="1:9" ht="12.75">
      <c r="A26" s="342"/>
      <c r="B26" s="342"/>
      <c r="C26" s="342"/>
      <c r="D26" s="342"/>
      <c r="E26" s="342"/>
      <c r="F26" s="342"/>
      <c r="G26" s="342"/>
      <c r="H26" s="4"/>
      <c r="I26" s="446">
        <v>0</v>
      </c>
    </row>
    <row r="27" spans="1:9" ht="12.75">
      <c r="A27" s="342"/>
      <c r="B27" s="342"/>
      <c r="C27" s="342"/>
      <c r="D27" s="342"/>
      <c r="E27" s="342"/>
      <c r="F27" s="342"/>
      <c r="G27" s="342"/>
      <c r="H27" s="4"/>
      <c r="I27" s="446">
        <v>0</v>
      </c>
    </row>
    <row r="28" spans="1:9" ht="12.75">
      <c r="A28" s="336" t="s">
        <v>98</v>
      </c>
      <c r="B28" s="337"/>
      <c r="C28" s="337"/>
      <c r="D28" s="337"/>
      <c r="E28" s="337"/>
      <c r="F28" s="337"/>
      <c r="G28" s="338"/>
      <c r="I28" s="22">
        <f>SUM(I18:I27)</f>
        <v>0</v>
      </c>
    </row>
    <row r="30" spans="1:9" ht="12.75">
      <c r="A30" s="336" t="s">
        <v>6</v>
      </c>
      <c r="B30" s="337"/>
      <c r="C30" s="337"/>
      <c r="D30" s="337"/>
      <c r="E30" s="337"/>
      <c r="F30" s="337"/>
      <c r="G30" s="338"/>
      <c r="I30" s="22">
        <f>I15-I28</f>
        <v>0</v>
      </c>
    </row>
  </sheetData>
  <sheetProtection sheet="1" objects="1" scenarios="1"/>
  <hyperlinks>
    <hyperlink ref="A1" location="Start!A1" display="&lt;"/>
  </hyperlinks>
  <printOptions/>
  <pageMargins left="0.75" right="0.75" top="1" bottom="1" header="0" footer="0"/>
  <pageSetup horizontalDpi="600" verticalDpi="600" orientation="portrait" paperSize="9" r:id="rId1"/>
  <rowBreaks count="1" manualBreakCount="1">
    <brk id="32" max="255" man="1"/>
  </rowBreaks>
</worksheet>
</file>

<file path=xl/worksheets/sheet7.xml><?xml version="1.0" encoding="utf-8"?>
<worksheet xmlns="http://schemas.openxmlformats.org/spreadsheetml/2006/main" xmlns:r="http://schemas.openxmlformats.org/officeDocument/2006/relationships">
  <dimension ref="A1:O196"/>
  <sheetViews>
    <sheetView showGridLines="0" zoomScalePageLayoutView="0" workbookViewId="0" topLeftCell="B1">
      <selection activeCell="F201" sqref="F201"/>
    </sheetView>
  </sheetViews>
  <sheetFormatPr defaultColWidth="9.140625" defaultRowHeight="12.75"/>
  <cols>
    <col min="1" max="1" width="1.57421875" style="6" hidden="1" customWidth="1"/>
    <col min="2" max="2" width="2.421875" style="6" customWidth="1"/>
    <col min="3" max="3" width="25.140625" style="6" customWidth="1"/>
    <col min="4" max="4" width="7.7109375" style="6" customWidth="1"/>
    <col min="5" max="8" width="8.57421875" style="6" customWidth="1"/>
    <col min="9" max="9" width="8.7109375" style="6" customWidth="1"/>
    <col min="10" max="10" width="5.7109375" style="6" customWidth="1"/>
    <col min="11" max="11" width="2.140625" style="6" customWidth="1"/>
    <col min="12" max="12" width="9.140625" style="6" customWidth="1"/>
    <col min="13" max="13" width="0" style="6" hidden="1" customWidth="1"/>
    <col min="14" max="16384" width="9.140625" style="6" customWidth="1"/>
  </cols>
  <sheetData>
    <row r="1" spans="10:11" ht="12.75">
      <c r="J1" s="411" t="s">
        <v>179</v>
      </c>
      <c r="K1" s="453">
        <v>5</v>
      </c>
    </row>
    <row r="2" spans="2:12" s="10" customFormat="1" ht="12.75">
      <c r="B2" s="350" t="s">
        <v>208</v>
      </c>
      <c r="C2" s="235"/>
      <c r="D2" s="357" t="s">
        <v>5</v>
      </c>
      <c r="E2" s="459"/>
      <c r="F2" s="235"/>
      <c r="G2" s="238"/>
      <c r="H2" s="235"/>
      <c r="I2" s="235"/>
      <c r="J2" s="411"/>
      <c r="K2" s="255"/>
      <c r="L2" s="255"/>
    </row>
    <row r="3" spans="2:12" ht="12.75">
      <c r="B3" s="239"/>
      <c r="C3" s="238" t="s">
        <v>273</v>
      </c>
      <c r="D3" s="245">
        <f>Start!E22</f>
        <v>2011</v>
      </c>
      <c r="E3" s="231">
        <f>Start!E22-1</f>
        <v>2010</v>
      </c>
      <c r="F3" s="231">
        <f>E3-1</f>
        <v>2009</v>
      </c>
      <c r="G3" s="231">
        <f>F3-1</f>
        <v>2008</v>
      </c>
      <c r="H3" s="231">
        <f>G3-1</f>
        <v>2007</v>
      </c>
      <c r="I3" s="231">
        <f>H3-1</f>
        <v>2006</v>
      </c>
      <c r="J3" s="314">
        <f>IF(I20=0,"","Snit")</f>
      </c>
      <c r="K3" s="239"/>
      <c r="L3" s="239"/>
    </row>
    <row r="4" spans="2:12" ht="12.75">
      <c r="B4" s="351"/>
      <c r="C4" s="233" t="s">
        <v>192</v>
      </c>
      <c r="D4" s="233">
        <f>IF(Start!E29&gt;0,Start!E29,Start!E29)</f>
        <v>638.2673000000001</v>
      </c>
      <c r="E4" s="234">
        <f>Start!F29</f>
        <v>600</v>
      </c>
      <c r="F4" s="234">
        <f>Start!G29</f>
        <v>0</v>
      </c>
      <c r="G4" s="234">
        <f>Start!H29</f>
        <v>0</v>
      </c>
      <c r="H4" s="234">
        <f>Start!I29</f>
        <v>0</v>
      </c>
      <c r="I4" s="234">
        <f>Start!J29</f>
        <v>0</v>
      </c>
      <c r="J4" s="234">
        <f aca="true" t="shared" si="0" ref="J4:J17">IF(I4=0,"",SUM(D4:I4)/6)</f>
      </c>
      <c r="K4" s="239"/>
      <c r="L4" s="239"/>
    </row>
    <row r="5" spans="2:12" ht="12.75">
      <c r="B5" s="351"/>
      <c r="C5" s="233" t="s">
        <v>348</v>
      </c>
      <c r="D5" s="233">
        <f>IF(Start!E30&gt;1,Start!E30,Start!E30+Start!E31+Start!#REF!)</f>
        <v>783.937</v>
      </c>
      <c r="E5" s="234">
        <f>Start!F30</f>
        <v>900</v>
      </c>
      <c r="F5" s="234">
        <f>Start!G30</f>
        <v>0</v>
      </c>
      <c r="G5" s="234">
        <f>Start!H30</f>
        <v>0</v>
      </c>
      <c r="H5" s="234">
        <f>Start!I30</f>
        <v>0</v>
      </c>
      <c r="I5" s="234">
        <f>Start!J30</f>
        <v>0</v>
      </c>
      <c r="J5" s="234">
        <f t="shared" si="0"/>
      </c>
      <c r="K5" s="239"/>
      <c r="L5" s="239"/>
    </row>
    <row r="6" spans="2:12" ht="12.75">
      <c r="B6" s="351"/>
      <c r="C6" s="233" t="s">
        <v>227</v>
      </c>
      <c r="D6" s="233">
        <f>Diverse!I30/1000</f>
        <v>0</v>
      </c>
      <c r="E6" s="234">
        <f>Start!F33</f>
        <v>5</v>
      </c>
      <c r="F6" s="234">
        <f>Start!G33</f>
        <v>0</v>
      </c>
      <c r="G6" s="234">
        <f>Start!H33</f>
        <v>0</v>
      </c>
      <c r="H6" s="234">
        <f>Start!I33</f>
        <v>0</v>
      </c>
      <c r="I6" s="234">
        <f>Start!J33</f>
        <v>0</v>
      </c>
      <c r="J6" s="234">
        <f t="shared" si="0"/>
      </c>
      <c r="K6" s="239"/>
      <c r="L6" s="239"/>
    </row>
    <row r="7" spans="2:12" ht="12.75">
      <c r="B7" s="351"/>
      <c r="C7" s="237" t="s">
        <v>99</v>
      </c>
      <c r="D7" s="237">
        <f aca="true" t="shared" si="1" ref="D7:I7">SUM(D4:D6)</f>
        <v>1422.2043</v>
      </c>
      <c r="E7" s="237">
        <f t="shared" si="1"/>
        <v>1505</v>
      </c>
      <c r="F7" s="237">
        <f t="shared" si="1"/>
        <v>0</v>
      </c>
      <c r="G7" s="237">
        <f t="shared" si="1"/>
        <v>0</v>
      </c>
      <c r="H7" s="237">
        <f t="shared" si="1"/>
        <v>0</v>
      </c>
      <c r="I7" s="237">
        <f t="shared" si="1"/>
        <v>0</v>
      </c>
      <c r="J7" s="238">
        <f t="shared" si="0"/>
      </c>
      <c r="K7" s="239"/>
      <c r="L7" s="239"/>
    </row>
    <row r="8" spans="2:12" ht="12.75">
      <c r="B8" s="351"/>
      <c r="C8" s="233" t="s">
        <v>8</v>
      </c>
      <c r="D8" s="233">
        <f>Start!E39*-1</f>
        <v>0</v>
      </c>
      <c r="E8" s="233">
        <f>Start!F39*-1</f>
        <v>-4</v>
      </c>
      <c r="F8" s="233">
        <f>Start!G39*-1</f>
        <v>0</v>
      </c>
      <c r="G8" s="233">
        <f>Start!H39*-1</f>
        <v>0</v>
      </c>
      <c r="H8" s="233">
        <f>Start!I39*-1</f>
        <v>0</v>
      </c>
      <c r="I8" s="233">
        <f>Start!J39*-1</f>
        <v>0</v>
      </c>
      <c r="J8" s="234">
        <f t="shared" si="0"/>
      </c>
      <c r="K8" s="239"/>
      <c r="L8" s="239"/>
    </row>
    <row r="9" spans="1:12" ht="12.75">
      <c r="A9" s="18"/>
      <c r="B9" s="460">
        <v>1</v>
      </c>
      <c r="C9" s="233" t="s">
        <v>86</v>
      </c>
      <c r="D9" s="236">
        <f>Start!E51*-1</f>
        <v>-300</v>
      </c>
      <c r="E9" s="233">
        <f>Start!F51*-1</f>
        <v>-418</v>
      </c>
      <c r="F9" s="233">
        <f>Start!G51*-1</f>
        <v>0</v>
      </c>
      <c r="G9" s="233">
        <f>Start!H51*-1</f>
        <v>0</v>
      </c>
      <c r="H9" s="233">
        <f>Start!I51*-1</f>
        <v>0</v>
      </c>
      <c r="I9" s="233">
        <f>Start!J51*-1</f>
        <v>0</v>
      </c>
      <c r="J9" s="234">
        <f t="shared" si="0"/>
      </c>
      <c r="K9" s="239"/>
      <c r="L9" s="239"/>
    </row>
    <row r="10" spans="1:12" ht="12.75">
      <c r="A10" s="461"/>
      <c r="B10" s="457"/>
      <c r="C10" s="237" t="s">
        <v>100</v>
      </c>
      <c r="D10" s="237">
        <f>SUM(D7:D9)</f>
        <v>1122.2043</v>
      </c>
      <c r="E10" s="237">
        <f>SUM(E7:E9)</f>
        <v>1083</v>
      </c>
      <c r="F10" s="237">
        <f>SUM(F7:F9)</f>
        <v>0</v>
      </c>
      <c r="G10" s="237">
        <f>G7+G8+G9</f>
        <v>0</v>
      </c>
      <c r="H10" s="237">
        <f>H7+H8+H9</f>
        <v>0</v>
      </c>
      <c r="I10" s="237">
        <f>I7+I8+I9</f>
        <v>0</v>
      </c>
      <c r="J10" s="238">
        <f t="shared" si="0"/>
      </c>
      <c r="K10" s="239"/>
      <c r="L10" s="352"/>
    </row>
    <row r="11" spans="1:12" ht="12.75">
      <c r="A11" s="18"/>
      <c r="B11" s="460"/>
      <c r="C11" s="234" t="s">
        <v>96</v>
      </c>
      <c r="D11" s="234">
        <f>Start!E37</f>
        <v>205</v>
      </c>
      <c r="E11" s="234">
        <f>Start!F37</f>
        <v>196</v>
      </c>
      <c r="F11" s="234">
        <f>Start!G37</f>
        <v>0</v>
      </c>
      <c r="G11" s="234">
        <f>Start!H37</f>
        <v>0</v>
      </c>
      <c r="H11" s="234">
        <f>Start!I37</f>
        <v>0</v>
      </c>
      <c r="I11" s="234">
        <f>Start!J37</f>
        <v>0</v>
      </c>
      <c r="J11" s="234">
        <f t="shared" si="0"/>
      </c>
      <c r="K11" s="239"/>
      <c r="L11" s="352"/>
    </row>
    <row r="12" spans="1:12" ht="12.75">
      <c r="A12" s="461"/>
      <c r="B12" s="457">
        <v>2</v>
      </c>
      <c r="C12" s="353" t="s">
        <v>17</v>
      </c>
      <c r="D12" s="233">
        <f>Start!E64*-1</f>
        <v>-465</v>
      </c>
      <c r="E12" s="233">
        <f>Start!F64*-1</f>
        <v>-435</v>
      </c>
      <c r="F12" s="233">
        <f>Start!G64*-1</f>
        <v>0</v>
      </c>
      <c r="G12" s="233">
        <f>Start!H64*-1</f>
        <v>0</v>
      </c>
      <c r="H12" s="233">
        <f>Start!I64*-1</f>
        <v>0</v>
      </c>
      <c r="I12" s="233">
        <f>Start!J64*-1</f>
        <v>0</v>
      </c>
      <c r="J12" s="234">
        <f t="shared" si="0"/>
      </c>
      <c r="K12" s="239"/>
      <c r="L12" s="239"/>
    </row>
    <row r="13" spans="1:12" ht="12.75">
      <c r="A13" s="18"/>
      <c r="B13" s="460">
        <v>3</v>
      </c>
      <c r="C13" s="353" t="s">
        <v>21</v>
      </c>
      <c r="D13" s="233">
        <f>Start!E71*-1</f>
        <v>-241</v>
      </c>
      <c r="E13" s="233">
        <f>Start!F71*-1</f>
        <v>-241</v>
      </c>
      <c r="F13" s="233">
        <f>Start!G71*-1</f>
        <v>0</v>
      </c>
      <c r="G13" s="233">
        <f>Start!H71*-1</f>
        <v>0</v>
      </c>
      <c r="H13" s="233">
        <f>Start!I71*-1</f>
        <v>0</v>
      </c>
      <c r="I13" s="233">
        <f>Start!J71*-1</f>
        <v>0</v>
      </c>
      <c r="J13" s="234">
        <f t="shared" si="0"/>
      </c>
      <c r="K13" s="239"/>
      <c r="L13" s="239"/>
    </row>
    <row r="14" spans="1:12" ht="12.75">
      <c r="A14" s="461"/>
      <c r="B14" s="457">
        <v>4</v>
      </c>
      <c r="C14" s="353" t="s">
        <v>197</v>
      </c>
      <c r="D14" s="233">
        <f>Start!E79</f>
        <v>0</v>
      </c>
      <c r="E14" s="233">
        <f>Start!F79</f>
        <v>7</v>
      </c>
      <c r="F14" s="233">
        <f>Start!G79</f>
        <v>0</v>
      </c>
      <c r="G14" s="233">
        <f>Start!H79</f>
        <v>0</v>
      </c>
      <c r="H14" s="233">
        <f>Start!I79</f>
        <v>0</v>
      </c>
      <c r="I14" s="233">
        <f>Start!J79</f>
        <v>0</v>
      </c>
      <c r="J14" s="234">
        <f t="shared" si="0"/>
      </c>
      <c r="K14" s="239"/>
      <c r="L14" s="239"/>
    </row>
    <row r="15" spans="1:12" ht="12.75">
      <c r="A15" s="18"/>
      <c r="B15" s="460"/>
      <c r="C15" s="237" t="s">
        <v>187</v>
      </c>
      <c r="D15" s="237">
        <f aca="true" t="shared" si="2" ref="D15:I15">SUM(D10:D14)</f>
        <v>621.2043000000001</v>
      </c>
      <c r="E15" s="237">
        <f t="shared" si="2"/>
        <v>610</v>
      </c>
      <c r="F15" s="241">
        <f t="shared" si="2"/>
        <v>0</v>
      </c>
      <c r="G15" s="241">
        <f t="shared" si="2"/>
        <v>0</v>
      </c>
      <c r="H15" s="241">
        <f t="shared" si="2"/>
        <v>0</v>
      </c>
      <c r="I15" s="241">
        <f t="shared" si="2"/>
        <v>0</v>
      </c>
      <c r="J15" s="238">
        <f t="shared" si="0"/>
      </c>
      <c r="K15" s="239"/>
      <c r="L15" s="239"/>
    </row>
    <row r="16" spans="1:12" ht="12.75">
      <c r="A16" s="461"/>
      <c r="B16" s="457">
        <v>5</v>
      </c>
      <c r="C16" s="353" t="s">
        <v>102</v>
      </c>
      <c r="D16" s="233">
        <f>D106*-1</f>
        <v>-489.38879238996395</v>
      </c>
      <c r="E16" s="233">
        <f>Start!F88*-1</f>
        <v>-516</v>
      </c>
      <c r="F16" s="233">
        <f>Start!G88*-1</f>
        <v>0</v>
      </c>
      <c r="G16" s="233">
        <f>Start!H88*-1</f>
        <v>0</v>
      </c>
      <c r="H16" s="233">
        <f>Start!I88*-1</f>
        <v>0</v>
      </c>
      <c r="I16" s="233">
        <f>Start!J88*-1</f>
        <v>0</v>
      </c>
      <c r="J16" s="234">
        <f t="shared" si="0"/>
      </c>
      <c r="K16" s="239"/>
      <c r="L16" s="239"/>
    </row>
    <row r="17" spans="2:12" ht="12.75">
      <c r="B17" s="351"/>
      <c r="C17" s="237" t="s">
        <v>103</v>
      </c>
      <c r="D17" s="237">
        <f>SUM(D15:D16)</f>
        <v>131.81550761003615</v>
      </c>
      <c r="E17" s="237">
        <f>SUM(E15:E16)</f>
        <v>94</v>
      </c>
      <c r="F17" s="237">
        <f>SUM(F15:F16)</f>
        <v>0</v>
      </c>
      <c r="G17" s="237">
        <f>G15+G16</f>
        <v>0</v>
      </c>
      <c r="H17" s="237">
        <f>H15+H16</f>
        <v>0</v>
      </c>
      <c r="I17" s="237">
        <f>I15+I16</f>
        <v>0</v>
      </c>
      <c r="J17" s="238">
        <f t="shared" si="0"/>
      </c>
      <c r="K17" s="239"/>
      <c r="L17" s="352"/>
    </row>
    <row r="18" spans="2:12" ht="12.75">
      <c r="B18" s="457">
        <v>6</v>
      </c>
      <c r="C18" s="234" t="s">
        <v>139</v>
      </c>
      <c r="D18" s="234">
        <f>Start!E98</f>
        <v>-5</v>
      </c>
      <c r="E18" s="234">
        <f>Start!F98</f>
        <v>-5</v>
      </c>
      <c r="F18" s="234">
        <f>Start!G98</f>
        <v>0</v>
      </c>
      <c r="G18" s="234">
        <f>Start!H98</f>
        <v>0</v>
      </c>
      <c r="H18" s="234">
        <f>Start!I98</f>
        <v>0</v>
      </c>
      <c r="I18" s="234">
        <f>Start!J98</f>
        <v>0</v>
      </c>
      <c r="J18" s="242"/>
      <c r="K18" s="239"/>
      <c r="L18" s="239"/>
    </row>
    <row r="19" spans="2:12" ht="12.75">
      <c r="B19" s="457">
        <v>7</v>
      </c>
      <c r="C19" s="234" t="s">
        <v>104</v>
      </c>
      <c r="D19" s="234">
        <f>Start!E108</f>
        <v>254</v>
      </c>
      <c r="E19" s="234">
        <f>Start!F108</f>
        <v>257</v>
      </c>
      <c r="F19" s="234">
        <f>Start!G108</f>
        <v>0</v>
      </c>
      <c r="G19" s="234">
        <f>Start!H108</f>
        <v>0</v>
      </c>
      <c r="H19" s="234">
        <f>Start!I108</f>
        <v>0</v>
      </c>
      <c r="I19" s="234">
        <f>Start!J108</f>
        <v>0</v>
      </c>
      <c r="J19" s="242"/>
      <c r="K19" s="239"/>
      <c r="L19" s="239"/>
    </row>
    <row r="20" spans="2:12" ht="12.75">
      <c r="B20" s="404"/>
      <c r="C20" s="238" t="s">
        <v>105</v>
      </c>
      <c r="D20" s="238">
        <f>SUM(D17:D19)</f>
        <v>380.81550761003615</v>
      </c>
      <c r="E20" s="238">
        <f>E17+E18+E19</f>
        <v>346</v>
      </c>
      <c r="F20" s="238">
        <f>F17+F18+F19</f>
        <v>0</v>
      </c>
      <c r="G20" s="238">
        <f>G17+G18+G19</f>
        <v>0</v>
      </c>
      <c r="H20" s="238">
        <f>H17+H18+H19</f>
        <v>0</v>
      </c>
      <c r="I20" s="238">
        <f>I17+I18+I19</f>
        <v>0</v>
      </c>
      <c r="J20" s="255"/>
      <c r="K20" s="239"/>
      <c r="L20" s="239"/>
    </row>
    <row r="21" spans="2:12" ht="12.75">
      <c r="B21" s="242"/>
      <c r="C21" s="235" t="s">
        <v>47</v>
      </c>
      <c r="D21" s="233">
        <f>Start!E110</f>
        <v>0</v>
      </c>
      <c r="E21" s="233">
        <f>Start!F110</f>
        <v>11</v>
      </c>
      <c r="F21" s="233">
        <f>Start!G110</f>
        <v>0</v>
      </c>
      <c r="G21" s="233">
        <f>Start!H110</f>
        <v>0</v>
      </c>
      <c r="H21" s="233">
        <f>Start!I110</f>
        <v>0</v>
      </c>
      <c r="I21" s="233">
        <f>Start!J110</f>
        <v>0</v>
      </c>
      <c r="J21" s="255"/>
      <c r="K21" s="239"/>
      <c r="L21" s="352"/>
    </row>
    <row r="22" spans="2:12" s="8" customFormat="1" ht="12.75">
      <c r="B22" s="242"/>
      <c r="C22" s="238" t="s">
        <v>106</v>
      </c>
      <c r="D22" s="238">
        <f>D20+D21</f>
        <v>380.81550761003615</v>
      </c>
      <c r="E22" s="238">
        <f>SUM(E20:E21)</f>
        <v>357</v>
      </c>
      <c r="F22" s="238">
        <f>SUM(F20:F21)</f>
        <v>0</v>
      </c>
      <c r="G22" s="238">
        <f>SUM(G20:G21)</f>
        <v>0</v>
      </c>
      <c r="H22" s="238">
        <f>H20+H21</f>
        <v>0</v>
      </c>
      <c r="I22" s="238">
        <f>SUM(I20:I21)</f>
        <v>0</v>
      </c>
      <c r="J22" s="242"/>
      <c r="K22" s="242"/>
      <c r="L22" s="242"/>
    </row>
    <row r="23" spans="2:12" s="8" customFormat="1" ht="12.75">
      <c r="B23" s="457">
        <v>8</v>
      </c>
      <c r="C23" s="235" t="s">
        <v>107</v>
      </c>
      <c r="D23" s="233">
        <f>Start!E116*-1</f>
        <v>-245</v>
      </c>
      <c r="E23" s="233">
        <f>Start!F116*-1</f>
        <v>-277</v>
      </c>
      <c r="F23" s="233">
        <f>Start!G116*-1</f>
        <v>0</v>
      </c>
      <c r="G23" s="233">
        <f>Start!H116*-1</f>
        <v>0</v>
      </c>
      <c r="H23" s="233">
        <f>Start!I116*-1</f>
        <v>0</v>
      </c>
      <c r="I23" s="233">
        <f>Start!J116*-1</f>
        <v>0</v>
      </c>
      <c r="J23" s="255"/>
      <c r="K23" s="242"/>
      <c r="L23" s="242"/>
    </row>
    <row r="24" spans="2:12" ht="12.75">
      <c r="B24" s="457">
        <v>9</v>
      </c>
      <c r="C24" s="235" t="s">
        <v>51</v>
      </c>
      <c r="D24" s="233">
        <f aca="true" t="shared" si="3" ref="D24:I24">D141*-1</f>
        <v>-135.36697842451628</v>
      </c>
      <c r="E24" s="233">
        <f t="shared" si="3"/>
        <v>-32</v>
      </c>
      <c r="F24" s="233">
        <f t="shared" si="3"/>
        <v>0</v>
      </c>
      <c r="G24" s="233">
        <f t="shared" si="3"/>
        <v>0</v>
      </c>
      <c r="H24" s="233">
        <f t="shared" si="3"/>
        <v>0</v>
      </c>
      <c r="I24" s="233">
        <f t="shared" si="3"/>
        <v>0</v>
      </c>
      <c r="J24" s="255"/>
      <c r="K24" s="239"/>
      <c r="L24" s="239"/>
    </row>
    <row r="25" spans="2:12" s="8" customFormat="1" ht="12.75">
      <c r="B25" s="351"/>
      <c r="C25" s="238" t="s">
        <v>109</v>
      </c>
      <c r="D25" s="238">
        <f aca="true" t="shared" si="4" ref="D25:I25">SUM(D22:D24)</f>
        <v>0.44852918551987386</v>
      </c>
      <c r="E25" s="238">
        <f t="shared" si="4"/>
        <v>48</v>
      </c>
      <c r="F25" s="238">
        <f t="shared" si="4"/>
        <v>0</v>
      </c>
      <c r="G25" s="238">
        <f t="shared" si="4"/>
        <v>0</v>
      </c>
      <c r="H25" s="238">
        <f t="shared" si="4"/>
        <v>0</v>
      </c>
      <c r="I25" s="238">
        <f t="shared" si="4"/>
        <v>0</v>
      </c>
      <c r="J25" s="255"/>
      <c r="K25" s="242"/>
      <c r="L25" s="242"/>
    </row>
    <row r="26" spans="2:12" s="8" customFormat="1" ht="12.75">
      <c r="B26" s="239"/>
      <c r="C26" s="235"/>
      <c r="D26" s="244">
        <f aca="true" t="shared" si="5" ref="D26:I26">(D42+D43+D44)/D38*100</f>
        <v>94.50198277350364</v>
      </c>
      <c r="E26" s="244">
        <f t="shared" si="5"/>
        <v>95.27448533998752</v>
      </c>
      <c r="F26" s="244" t="e">
        <f t="shared" si="5"/>
        <v>#DIV/0!</v>
      </c>
      <c r="G26" s="244" t="e">
        <f t="shared" si="5"/>
        <v>#DIV/0!</v>
      </c>
      <c r="H26" s="244" t="e">
        <f t="shared" si="5"/>
        <v>#DIV/0!</v>
      </c>
      <c r="I26" s="244" t="e">
        <f t="shared" si="5"/>
        <v>#DIV/0!</v>
      </c>
      <c r="J26" s="239"/>
      <c r="K26" s="242"/>
      <c r="L26" s="242"/>
    </row>
    <row r="27" spans="2:12" s="8" customFormat="1" ht="12.75">
      <c r="B27" s="239"/>
      <c r="C27" s="238" t="s">
        <v>110</v>
      </c>
      <c r="D27" s="245">
        <f aca="true" t="shared" si="6" ref="D27:I27">D3</f>
        <v>2011</v>
      </c>
      <c r="E27" s="245">
        <f t="shared" si="6"/>
        <v>2010</v>
      </c>
      <c r="F27" s="245">
        <f t="shared" si="6"/>
        <v>2009</v>
      </c>
      <c r="G27" s="245">
        <f t="shared" si="6"/>
        <v>2008</v>
      </c>
      <c r="H27" s="245">
        <f t="shared" si="6"/>
        <v>2007</v>
      </c>
      <c r="I27" s="245">
        <f t="shared" si="6"/>
        <v>2006</v>
      </c>
      <c r="J27" s="239"/>
      <c r="K27" s="242"/>
      <c r="L27" s="242"/>
    </row>
    <row r="28" spans="2:12" s="8" customFormat="1" ht="12.75">
      <c r="B28" s="239"/>
      <c r="C28" s="235" t="str">
        <f>Start!B132</f>
        <v>Fastejendom</v>
      </c>
      <c r="D28" s="235">
        <f>Start!E132+Start!E154+Start!E155</f>
        <v>8658</v>
      </c>
      <c r="E28" s="235">
        <f>Start!F132</f>
        <v>8746</v>
      </c>
      <c r="F28" s="235">
        <f>Start!G132</f>
        <v>0</v>
      </c>
      <c r="G28" s="235">
        <f>Start!H132</f>
        <v>0</v>
      </c>
      <c r="H28" s="235">
        <f>Start!I132</f>
        <v>0</v>
      </c>
      <c r="I28" s="235">
        <f>Start!J132</f>
        <v>0</v>
      </c>
      <c r="J28" s="239"/>
      <c r="K28" s="242"/>
      <c r="L28" s="242"/>
    </row>
    <row r="29" spans="2:12" s="8" customFormat="1" ht="12.75">
      <c r="B29" s="239"/>
      <c r="C29" s="235" t="s">
        <v>174</v>
      </c>
      <c r="D29" s="235">
        <f>Start!E133</f>
        <v>0</v>
      </c>
      <c r="E29" s="235">
        <f>Start!F133</f>
        <v>0</v>
      </c>
      <c r="F29" s="235">
        <f>Start!G133</f>
        <v>0</v>
      </c>
      <c r="G29" s="235">
        <f>Start!H133</f>
        <v>0</v>
      </c>
      <c r="H29" s="235">
        <f>Start!I133</f>
        <v>0</v>
      </c>
      <c r="I29" s="235">
        <f>Start!J133</f>
        <v>0</v>
      </c>
      <c r="J29" s="239"/>
      <c r="K29" s="242"/>
      <c r="L29" s="242"/>
    </row>
    <row r="30" spans="2:12" s="8" customFormat="1" ht="12.75">
      <c r="B30" s="239"/>
      <c r="C30" s="235" t="str">
        <f>Start!B134</f>
        <v>Betalingsrettigheder</v>
      </c>
      <c r="D30" s="235">
        <f>Start!E134</f>
        <v>0</v>
      </c>
      <c r="E30" s="235">
        <f>Start!F134</f>
        <v>0</v>
      </c>
      <c r="F30" s="235">
        <f>Start!G134</f>
        <v>0</v>
      </c>
      <c r="G30" s="235">
        <f>Start!H134</f>
        <v>0</v>
      </c>
      <c r="H30" s="235">
        <f>Start!I134</f>
        <v>0</v>
      </c>
      <c r="I30" s="235">
        <f>Start!J134</f>
        <v>0</v>
      </c>
      <c r="J30" s="239"/>
      <c r="K30" s="242"/>
      <c r="L30" s="242"/>
    </row>
    <row r="31" spans="2:12" s="8" customFormat="1" ht="12.75">
      <c r="B31" s="239"/>
      <c r="C31" s="235" t="str">
        <f>Start!B135</f>
        <v>Driftsmidler og inventar</v>
      </c>
      <c r="D31" s="235">
        <f>Start!E135+Start!E157+Start!E159</f>
        <v>1360</v>
      </c>
      <c r="E31" s="235">
        <f>Start!F135</f>
        <v>1513</v>
      </c>
      <c r="F31" s="235">
        <f>Start!G135</f>
        <v>0</v>
      </c>
      <c r="G31" s="235">
        <f>Start!H135</f>
        <v>0</v>
      </c>
      <c r="H31" s="235">
        <f>Start!I135</f>
        <v>0</v>
      </c>
      <c r="I31" s="235">
        <f>Start!J135</f>
        <v>0</v>
      </c>
      <c r="J31" s="239"/>
      <c r="K31" s="242"/>
      <c r="L31" s="242"/>
    </row>
    <row r="32" spans="2:12" s="8" customFormat="1" ht="12.75">
      <c r="B32" s="239"/>
      <c r="C32" s="235" t="s">
        <v>111</v>
      </c>
      <c r="D32" s="235">
        <f>Start!E136</f>
        <v>203</v>
      </c>
      <c r="E32" s="235">
        <f>Start!F136</f>
        <v>203</v>
      </c>
      <c r="F32" s="235">
        <f>Start!G136</f>
        <v>0</v>
      </c>
      <c r="G32" s="235">
        <f>Start!H136</f>
        <v>0</v>
      </c>
      <c r="H32" s="235">
        <f>Start!I136</f>
        <v>0</v>
      </c>
      <c r="I32" s="235">
        <f>Start!J136</f>
        <v>0</v>
      </c>
      <c r="J32" s="239"/>
      <c r="K32" s="242"/>
      <c r="L32" s="242"/>
    </row>
    <row r="33" spans="2:12" s="8" customFormat="1" ht="12.75">
      <c r="B33" s="239"/>
      <c r="C33" s="235" t="s">
        <v>229</v>
      </c>
      <c r="D33" s="234">
        <f>Start!E137</f>
        <v>206</v>
      </c>
      <c r="E33" s="235">
        <f>Start!F137</f>
        <v>206</v>
      </c>
      <c r="F33" s="235">
        <f>Start!G137</f>
        <v>0</v>
      </c>
      <c r="G33" s="235">
        <f>Start!H137</f>
        <v>0</v>
      </c>
      <c r="H33" s="235">
        <f>Start!I137</f>
        <v>0</v>
      </c>
      <c r="I33" s="235">
        <f>Start!J137</f>
        <v>0</v>
      </c>
      <c r="J33" s="239"/>
      <c r="K33" s="242"/>
      <c r="L33" s="242"/>
    </row>
    <row r="34" spans="2:12" s="8" customFormat="1" ht="12.75">
      <c r="B34" s="239"/>
      <c r="C34" s="235" t="str">
        <f>Start!B138</f>
        <v>Besætning</v>
      </c>
      <c r="D34" s="234">
        <f>Start!E138</f>
        <v>675</v>
      </c>
      <c r="E34" s="235">
        <f>Start!F138</f>
        <v>675</v>
      </c>
      <c r="F34" s="235">
        <f>Start!G138</f>
        <v>0</v>
      </c>
      <c r="G34" s="235">
        <f>Start!H138</f>
        <v>0</v>
      </c>
      <c r="H34" s="235">
        <f>Start!I138</f>
        <v>0</v>
      </c>
      <c r="I34" s="235">
        <f>Start!J138</f>
        <v>0</v>
      </c>
      <c r="J34" s="239"/>
      <c r="K34" s="242"/>
      <c r="L34" s="242"/>
    </row>
    <row r="35" spans="2:12" s="8" customFormat="1" ht="12.75">
      <c r="B35" s="239"/>
      <c r="C35" s="235" t="s">
        <v>89</v>
      </c>
      <c r="D35" s="234">
        <f>Start!E139</f>
        <v>305</v>
      </c>
      <c r="E35" s="235">
        <f>Start!F139</f>
        <v>305</v>
      </c>
      <c r="F35" s="235">
        <f>Start!G139</f>
        <v>0</v>
      </c>
      <c r="G35" s="235">
        <f>Start!H139</f>
        <v>0</v>
      </c>
      <c r="H35" s="235">
        <f>Start!I139</f>
        <v>0</v>
      </c>
      <c r="I35" s="235">
        <f>Start!J139</f>
        <v>0</v>
      </c>
      <c r="J35" s="239"/>
      <c r="K35" s="242"/>
      <c r="L35" s="242"/>
    </row>
    <row r="36" spans="2:12" s="8" customFormat="1" ht="12.75">
      <c r="B36" s="239"/>
      <c r="C36" s="235" t="s">
        <v>90</v>
      </c>
      <c r="D36" s="235">
        <f>Start!E140</f>
        <v>0</v>
      </c>
      <c r="E36" s="235">
        <f>Start!F140</f>
        <v>0</v>
      </c>
      <c r="F36" s="235">
        <f>Start!G140</f>
        <v>0</v>
      </c>
      <c r="G36" s="235">
        <f>Start!H140</f>
        <v>0</v>
      </c>
      <c r="H36" s="235">
        <f>Start!I140</f>
        <v>0</v>
      </c>
      <c r="I36" s="235">
        <f>Start!J140</f>
        <v>0</v>
      </c>
      <c r="J36" s="239"/>
      <c r="K36" s="242"/>
      <c r="L36" s="242"/>
    </row>
    <row r="37" spans="2:12" s="8" customFormat="1" ht="12.75">
      <c r="B37" s="239"/>
      <c r="C37" s="235" t="s">
        <v>113</v>
      </c>
      <c r="D37" s="235">
        <f>Start!E141</f>
        <v>1176</v>
      </c>
      <c r="E37" s="235">
        <f>Start!F141</f>
        <v>1176</v>
      </c>
      <c r="F37" s="235">
        <f>Start!G141</f>
        <v>0</v>
      </c>
      <c r="G37" s="235">
        <f>Start!H141</f>
        <v>0</v>
      </c>
      <c r="H37" s="235">
        <f>Start!I141</f>
        <v>0</v>
      </c>
      <c r="I37" s="235">
        <f>Start!J141</f>
        <v>0</v>
      </c>
      <c r="J37" s="239"/>
      <c r="K37" s="242"/>
      <c r="L37" s="242"/>
    </row>
    <row r="38" spans="2:12" s="8" customFormat="1" ht="12.75">
      <c r="B38" s="239"/>
      <c r="C38" s="238" t="s">
        <v>91</v>
      </c>
      <c r="D38" s="238">
        <f aca="true" t="shared" si="7" ref="D38:I38">SUM(D28:D37)</f>
        <v>12583</v>
      </c>
      <c r="E38" s="238">
        <f t="shared" si="7"/>
        <v>12824</v>
      </c>
      <c r="F38" s="238">
        <f t="shared" si="7"/>
        <v>0</v>
      </c>
      <c r="G38" s="238">
        <f t="shared" si="7"/>
        <v>0</v>
      </c>
      <c r="H38" s="238">
        <f t="shared" si="7"/>
        <v>0</v>
      </c>
      <c r="I38" s="238">
        <f t="shared" si="7"/>
        <v>0</v>
      </c>
      <c r="J38" s="239"/>
      <c r="K38" s="242"/>
      <c r="L38" s="242"/>
    </row>
    <row r="39" spans="2:12" ht="12.75">
      <c r="B39" s="239"/>
      <c r="C39" s="234" t="s">
        <v>138</v>
      </c>
      <c r="D39" s="235">
        <f>Start!E144</f>
        <v>-569.5514708144801</v>
      </c>
      <c r="E39" s="235">
        <f>Start!F144</f>
        <v>-570</v>
      </c>
      <c r="F39" s="235">
        <f>Start!G144</f>
        <v>0</v>
      </c>
      <c r="G39" s="235">
        <f>Start!H144</f>
        <v>0</v>
      </c>
      <c r="H39" s="235">
        <f>Start!I144</f>
        <v>0</v>
      </c>
      <c r="I39" s="235">
        <f>Start!J144</f>
        <v>0</v>
      </c>
      <c r="J39" s="239"/>
      <c r="K39" s="239"/>
      <c r="L39" s="239"/>
    </row>
    <row r="40" spans="2:12" ht="12.75">
      <c r="B40" s="239"/>
      <c r="C40" s="234" t="s">
        <v>137</v>
      </c>
      <c r="D40" s="235">
        <f>Start!E145</f>
        <v>1176</v>
      </c>
      <c r="E40" s="235">
        <f>Start!F145</f>
        <v>1176</v>
      </c>
      <c r="F40" s="235">
        <f>Start!G145</f>
        <v>0</v>
      </c>
      <c r="G40" s="235">
        <f>Start!H145</f>
        <v>0</v>
      </c>
      <c r="H40" s="235">
        <f>Start!I145</f>
        <v>0</v>
      </c>
      <c r="I40" s="235">
        <f>Start!J145</f>
        <v>0</v>
      </c>
      <c r="J40" s="239"/>
      <c r="K40" s="239"/>
      <c r="L40" s="239"/>
    </row>
    <row r="41" spans="2:12" ht="12.75">
      <c r="B41" s="239"/>
      <c r="C41" s="235" t="s">
        <v>87</v>
      </c>
      <c r="D41" s="235">
        <f>Start!E146</f>
        <v>85.36697842451628</v>
      </c>
      <c r="E41" s="235">
        <f>Start!F146</f>
        <v>0</v>
      </c>
      <c r="F41" s="235">
        <f>Start!G146</f>
        <v>0</v>
      </c>
      <c r="G41" s="235">
        <f>Start!H146</f>
        <v>0</v>
      </c>
      <c r="H41" s="235">
        <f>Start!I146</f>
        <v>0</v>
      </c>
      <c r="I41" s="235">
        <f>Start!J146</f>
        <v>0</v>
      </c>
      <c r="J41" s="239"/>
      <c r="K41" s="352"/>
      <c r="L41" s="239"/>
    </row>
    <row r="42" spans="2:14" s="8" customFormat="1" ht="12.75">
      <c r="B42" s="239"/>
      <c r="C42" s="235" t="s">
        <v>88</v>
      </c>
      <c r="D42" s="235">
        <f>Start!E147</f>
        <v>9469.278042389964</v>
      </c>
      <c r="E42" s="235">
        <f>Start!F147</f>
        <v>9706</v>
      </c>
      <c r="F42" s="235">
        <f>Start!G147</f>
        <v>0</v>
      </c>
      <c r="G42" s="235">
        <f>Start!H147</f>
        <v>0</v>
      </c>
      <c r="H42" s="235">
        <f>Start!I147</f>
        <v>0</v>
      </c>
      <c r="I42" s="235">
        <f>Start!J147</f>
        <v>0</v>
      </c>
      <c r="J42" s="239"/>
      <c r="K42" s="242"/>
      <c r="L42" s="239"/>
      <c r="N42" s="6"/>
    </row>
    <row r="43" spans="2:12" ht="12.75">
      <c r="B43" s="239"/>
      <c r="C43" s="235" t="s">
        <v>114</v>
      </c>
      <c r="D43" s="235">
        <f>Start!E148</f>
        <v>2421.9064500000004</v>
      </c>
      <c r="E43" s="235">
        <f>Start!F148</f>
        <v>2512</v>
      </c>
      <c r="F43" s="235">
        <f>Start!G148</f>
        <v>0</v>
      </c>
      <c r="G43" s="235">
        <f>Start!H148</f>
        <v>0</v>
      </c>
      <c r="H43" s="235">
        <f>Start!I148</f>
        <v>0</v>
      </c>
      <c r="I43" s="235">
        <f>Start!J148</f>
        <v>0</v>
      </c>
      <c r="J43" s="239"/>
      <c r="K43" s="239"/>
      <c r="L43" s="239"/>
    </row>
    <row r="44" spans="2:12" ht="12.75">
      <c r="B44" s="239"/>
      <c r="C44" s="235" t="s">
        <v>115</v>
      </c>
      <c r="D44" s="235">
        <f>Start!E149</f>
        <v>0</v>
      </c>
      <c r="E44" s="235">
        <f>Start!F149</f>
        <v>0</v>
      </c>
      <c r="F44" s="235">
        <f>Start!G149</f>
        <v>0</v>
      </c>
      <c r="G44" s="235">
        <f>Start!H149</f>
        <v>0</v>
      </c>
      <c r="H44" s="235">
        <f>Start!I149</f>
        <v>0</v>
      </c>
      <c r="I44" s="235">
        <f>Start!J149</f>
        <v>0</v>
      </c>
      <c r="J44" s="239"/>
      <c r="K44" s="239"/>
      <c r="L44" s="239"/>
    </row>
    <row r="45" spans="2:14" ht="12.75">
      <c r="B45" s="239"/>
      <c r="C45" s="238" t="s">
        <v>92</v>
      </c>
      <c r="D45" s="242">
        <f aca="true" t="shared" si="8" ref="D45:I45">SUM(D39:D44)</f>
        <v>12583</v>
      </c>
      <c r="E45" s="242">
        <f t="shared" si="8"/>
        <v>12824</v>
      </c>
      <c r="F45" s="242">
        <f t="shared" si="8"/>
        <v>0</v>
      </c>
      <c r="G45" s="242">
        <f t="shared" si="8"/>
        <v>0</v>
      </c>
      <c r="H45" s="242">
        <f t="shared" si="8"/>
        <v>0</v>
      </c>
      <c r="I45" s="242">
        <f t="shared" si="8"/>
        <v>0</v>
      </c>
      <c r="J45" s="239"/>
      <c r="K45" s="239"/>
      <c r="L45" s="239"/>
      <c r="N45" s="8"/>
    </row>
    <row r="46" spans="2:12" ht="12.75">
      <c r="B46" s="239"/>
      <c r="C46" s="238"/>
      <c r="D46" s="238"/>
      <c r="E46" s="242"/>
      <c r="F46" s="242"/>
      <c r="G46" s="242"/>
      <c r="H46" s="242"/>
      <c r="I46" s="242"/>
      <c r="J46" s="239"/>
      <c r="K46" s="239"/>
      <c r="L46" s="239"/>
    </row>
    <row r="47" spans="2:12" ht="12.75">
      <c r="B47" s="239"/>
      <c r="C47" s="239"/>
      <c r="D47" s="239"/>
      <c r="E47" s="239"/>
      <c r="F47" s="239"/>
      <c r="G47" s="239"/>
      <c r="H47" s="239"/>
      <c r="I47" s="239"/>
      <c r="J47" s="239"/>
      <c r="K47" s="239"/>
      <c r="L47" s="239"/>
    </row>
    <row r="48" spans="2:12" ht="12.75">
      <c r="B48" s="239"/>
      <c r="C48" s="239"/>
      <c r="D48" s="239"/>
      <c r="E48" s="239"/>
      <c r="F48" s="239"/>
      <c r="G48" s="239"/>
      <c r="H48" s="239"/>
      <c r="I48" s="239"/>
      <c r="J48" s="239"/>
      <c r="K48" s="239"/>
      <c r="L48" s="239"/>
    </row>
    <row r="49" spans="2:12" ht="12.75">
      <c r="B49" s="239"/>
      <c r="C49" s="239"/>
      <c r="D49" s="239"/>
      <c r="E49" s="239"/>
      <c r="F49" s="239"/>
      <c r="G49" s="239"/>
      <c r="H49" s="239"/>
      <c r="I49" s="239"/>
      <c r="J49" s="239"/>
      <c r="K49" s="239"/>
      <c r="L49" s="239"/>
    </row>
    <row r="50" spans="2:12" ht="12.75">
      <c r="B50" s="239"/>
      <c r="C50" s="239"/>
      <c r="D50" s="239"/>
      <c r="E50" s="239"/>
      <c r="F50" s="239"/>
      <c r="G50" s="239"/>
      <c r="H50" s="239"/>
      <c r="I50" s="239"/>
      <c r="J50" s="239"/>
      <c r="K50" s="239"/>
      <c r="L50" s="239"/>
    </row>
    <row r="51" spans="2:12" ht="12.75">
      <c r="B51" s="239"/>
      <c r="C51" s="239"/>
      <c r="D51" s="239"/>
      <c r="E51" s="239"/>
      <c r="F51" s="239"/>
      <c r="G51" s="239"/>
      <c r="H51" s="239"/>
      <c r="I51" s="239"/>
      <c r="J51" s="239"/>
      <c r="K51" s="239"/>
      <c r="L51" s="239"/>
    </row>
    <row r="52" spans="2:12" ht="12.75">
      <c r="B52" s="239"/>
      <c r="C52" s="239"/>
      <c r="D52" s="239"/>
      <c r="E52" s="239"/>
      <c r="F52" s="239"/>
      <c r="G52" s="239"/>
      <c r="H52" s="239"/>
      <c r="I52" s="239"/>
      <c r="J52" s="239"/>
      <c r="K52" s="239"/>
      <c r="L52" s="239"/>
    </row>
    <row r="53" spans="2:12" ht="12.75">
      <c r="B53" s="239"/>
      <c r="C53" s="239"/>
      <c r="D53" s="239"/>
      <c r="E53" s="239"/>
      <c r="F53" s="239"/>
      <c r="G53" s="239"/>
      <c r="H53" s="239"/>
      <c r="I53" s="239"/>
      <c r="J53" s="239"/>
      <c r="K53" s="239"/>
      <c r="L53" s="239"/>
    </row>
    <row r="54" spans="2:12" ht="12.75">
      <c r="B54" s="239"/>
      <c r="C54" s="239"/>
      <c r="D54" s="239"/>
      <c r="E54" s="239"/>
      <c r="F54" s="239"/>
      <c r="G54" s="239"/>
      <c r="H54" s="239"/>
      <c r="I54" s="239"/>
      <c r="J54" s="239"/>
      <c r="K54" s="239"/>
      <c r="L54" s="239"/>
    </row>
    <row r="55" spans="2:12" ht="12.75">
      <c r="B55" s="354" t="s">
        <v>208</v>
      </c>
      <c r="C55" s="239"/>
      <c r="D55" s="239"/>
      <c r="E55" s="239"/>
      <c r="F55" s="239"/>
      <c r="G55" s="239"/>
      <c r="H55" s="239"/>
      <c r="I55" s="239"/>
      <c r="J55" s="239"/>
      <c r="K55" s="239"/>
      <c r="L55" s="239"/>
    </row>
    <row r="57" spans="2:11" ht="12.75">
      <c r="B57" s="239"/>
      <c r="C57" s="239"/>
      <c r="D57" s="239"/>
      <c r="E57" s="239"/>
      <c r="F57" s="239"/>
      <c r="G57" s="239"/>
      <c r="H57" s="239"/>
      <c r="I57" s="239"/>
      <c r="J57" s="313" t="s">
        <v>179</v>
      </c>
      <c r="K57" s="239">
        <f>K1+1</f>
        <v>6</v>
      </c>
    </row>
    <row r="58" spans="2:11" ht="12.75">
      <c r="B58" s="239"/>
      <c r="C58" s="242" t="s">
        <v>134</v>
      </c>
      <c r="D58" s="239"/>
      <c r="E58" s="239"/>
      <c r="F58" s="239"/>
      <c r="G58" s="239"/>
      <c r="H58" s="239"/>
      <c r="I58" s="239"/>
      <c r="J58" s="239"/>
      <c r="K58" s="239"/>
    </row>
    <row r="59" spans="4:9" ht="12.75">
      <c r="D59" s="365">
        <f aca="true" t="shared" si="9" ref="D59:I59">D3</f>
        <v>2011</v>
      </c>
      <c r="E59" s="365">
        <f t="shared" si="9"/>
        <v>2010</v>
      </c>
      <c r="F59" s="365">
        <f t="shared" si="9"/>
        <v>2009</v>
      </c>
      <c r="G59" s="365">
        <f t="shared" si="9"/>
        <v>2008</v>
      </c>
      <c r="H59" s="365">
        <f t="shared" si="9"/>
        <v>2007</v>
      </c>
      <c r="I59" s="365">
        <f t="shared" si="9"/>
        <v>2006</v>
      </c>
    </row>
    <row r="60" spans="2:3" ht="12.75">
      <c r="B60" s="8">
        <v>1</v>
      </c>
      <c r="C60" s="8" t="s">
        <v>9</v>
      </c>
    </row>
    <row r="61" spans="3:9" ht="12.75">
      <c r="C61" s="6" t="str">
        <f>Start!B42</f>
        <v>Brændstof</v>
      </c>
      <c r="D61" s="6">
        <f>Start!E42</f>
        <v>60</v>
      </c>
      <c r="E61" s="6">
        <f>Start!F42</f>
        <v>93</v>
      </c>
      <c r="F61" s="6">
        <f>Start!G42</f>
        <v>0</v>
      </c>
      <c r="G61" s="6">
        <f>Start!H42</f>
        <v>0</v>
      </c>
      <c r="H61" s="6">
        <f>Start!I42</f>
        <v>0</v>
      </c>
      <c r="I61" s="6">
        <f>Start!J42</f>
        <v>0</v>
      </c>
    </row>
    <row r="62" spans="3:9" ht="12.75">
      <c r="C62" s="6" t="str">
        <f>Start!B43</f>
        <v>El</v>
      </c>
      <c r="D62" s="6">
        <f>Start!E43</f>
        <v>22</v>
      </c>
      <c r="E62" s="6">
        <f>Start!F43</f>
        <v>14</v>
      </c>
      <c r="F62" s="6">
        <f>Start!G43</f>
        <v>0</v>
      </c>
      <c r="G62" s="6">
        <f>Start!H43</f>
        <v>0</v>
      </c>
      <c r="H62" s="6">
        <f>Start!I43</f>
        <v>0</v>
      </c>
      <c r="I62" s="6">
        <f>Start!J43</f>
        <v>0</v>
      </c>
    </row>
    <row r="63" spans="3:9" ht="12.75">
      <c r="C63" s="6" t="str">
        <f>Start!B44</f>
        <v>Vand</v>
      </c>
      <c r="D63" s="6">
        <f>Start!E44</f>
        <v>16</v>
      </c>
      <c r="E63" s="6">
        <f>Start!F44</f>
        <v>11</v>
      </c>
      <c r="F63" s="6">
        <f>Start!G44</f>
        <v>0</v>
      </c>
      <c r="G63" s="6">
        <f>Start!H44</f>
        <v>0</v>
      </c>
      <c r="H63" s="6">
        <f>Start!I44</f>
        <v>0</v>
      </c>
      <c r="I63" s="6">
        <f>Start!J44</f>
        <v>0</v>
      </c>
    </row>
    <row r="64" spans="3:9" ht="12.75">
      <c r="C64" s="6" t="str">
        <f>Start!B45</f>
        <v>Vedligeholdelse driftsmidler</v>
      </c>
      <c r="D64" s="6">
        <f>Start!E45</f>
        <v>70</v>
      </c>
      <c r="E64" s="6">
        <f>Start!F45</f>
        <v>153</v>
      </c>
      <c r="F64" s="6">
        <f>Start!G45</f>
        <v>0</v>
      </c>
      <c r="G64" s="6">
        <f>Start!H45</f>
        <v>0</v>
      </c>
      <c r="H64" s="6">
        <f>Start!I45</f>
        <v>0</v>
      </c>
      <c r="I64" s="6">
        <f>Start!J45</f>
        <v>0</v>
      </c>
    </row>
    <row r="65" spans="3:9" ht="12.75">
      <c r="C65" s="6" t="str">
        <f>Start!B46</f>
        <v>Småanskaffelser</v>
      </c>
      <c r="D65" s="6">
        <f>Start!E46</f>
        <v>10</v>
      </c>
      <c r="E65" s="6">
        <f>Start!F46</f>
        <v>9</v>
      </c>
      <c r="F65" s="6">
        <f>Start!G46</f>
        <v>0</v>
      </c>
      <c r="G65" s="6">
        <f>Start!H46</f>
        <v>0</v>
      </c>
      <c r="H65" s="6">
        <f>Start!I46</f>
        <v>0</v>
      </c>
      <c r="I65" s="6">
        <f>Start!J46</f>
        <v>0</v>
      </c>
    </row>
    <row r="66" spans="3:9" ht="12.75">
      <c r="C66" s="6" t="str">
        <f>IF(D66=0,"",Start!B47)</f>
        <v>Fragt og tørring</v>
      </c>
      <c r="D66" s="6">
        <f>Start!E47</f>
        <v>47</v>
      </c>
      <c r="E66" s="6">
        <f>Start!F47</f>
        <v>61</v>
      </c>
      <c r="F66" s="6">
        <f>Start!G47</f>
        <v>0</v>
      </c>
      <c r="G66" s="6">
        <f>Start!H47</f>
        <v>0</v>
      </c>
      <c r="H66" s="6">
        <f>Start!I47</f>
        <v>0</v>
      </c>
      <c r="I66" s="6">
        <f>Start!J47</f>
        <v>0</v>
      </c>
    </row>
    <row r="67" spans="3:9" ht="12.75">
      <c r="C67" s="6">
        <f>IF(D67=0,"",Start!B48)</f>
      </c>
      <c r="D67" s="6">
        <f>Start!E48</f>
        <v>0</v>
      </c>
      <c r="E67" s="6">
        <f>Start!F48</f>
        <v>0</v>
      </c>
      <c r="F67" s="6">
        <f>Start!G48</f>
        <v>0</v>
      </c>
      <c r="G67" s="6">
        <f>Start!H48</f>
        <v>0</v>
      </c>
      <c r="H67" s="6">
        <f>Start!I48</f>
        <v>0</v>
      </c>
      <c r="I67" s="6">
        <f>Start!J48</f>
        <v>0</v>
      </c>
    </row>
    <row r="68" spans="3:9" ht="12.75">
      <c r="C68" s="6">
        <f>IF(D68=0,"",Start!B49)</f>
      </c>
      <c r="D68" s="6">
        <f>Start!E49</f>
        <v>0</v>
      </c>
      <c r="E68" s="6">
        <f>Start!F49</f>
        <v>0</v>
      </c>
      <c r="F68" s="6">
        <f>Start!G49</f>
        <v>0</v>
      </c>
      <c r="G68" s="6">
        <f>Start!H49</f>
        <v>0</v>
      </c>
      <c r="H68" s="6">
        <f>Start!I49</f>
        <v>0</v>
      </c>
      <c r="I68" s="6">
        <f>Start!J49</f>
        <v>0</v>
      </c>
    </row>
    <row r="69" spans="3:9" ht="12.75">
      <c r="C69" s="6" t="str">
        <f>Start!B50</f>
        <v>Maskinstation</v>
      </c>
      <c r="D69" s="6">
        <f>Start!E50</f>
        <v>75</v>
      </c>
      <c r="E69" s="6">
        <f>Start!F50</f>
        <v>77</v>
      </c>
      <c r="F69" s="6">
        <f>Start!G50</f>
        <v>0</v>
      </c>
      <c r="G69" s="6">
        <f>Start!H50</f>
        <v>0</v>
      </c>
      <c r="H69" s="6">
        <f>Start!I50</f>
        <v>0</v>
      </c>
      <c r="I69" s="6">
        <f>Start!J50</f>
        <v>0</v>
      </c>
    </row>
    <row r="70" spans="2:11" ht="12.75">
      <c r="B70" s="8"/>
      <c r="C70" s="8" t="s">
        <v>16</v>
      </c>
      <c r="D70" s="8">
        <f aca="true" t="shared" si="10" ref="D70:I70">SUM(D61:D69)</f>
        <v>300</v>
      </c>
      <c r="E70" s="8">
        <f t="shared" si="10"/>
        <v>418</v>
      </c>
      <c r="F70" s="8">
        <f t="shared" si="10"/>
        <v>0</v>
      </c>
      <c r="G70" s="8">
        <f t="shared" si="10"/>
        <v>0</v>
      </c>
      <c r="H70" s="8">
        <f t="shared" si="10"/>
        <v>0</v>
      </c>
      <c r="I70" s="8">
        <f t="shared" si="10"/>
        <v>0</v>
      </c>
      <c r="J70" s="8"/>
      <c r="K70" s="8"/>
    </row>
    <row r="72" ht="12.75">
      <c r="B72" s="8" t="s">
        <v>236</v>
      </c>
    </row>
    <row r="73" spans="3:9" ht="12.75">
      <c r="C73" s="6" t="str">
        <f>Start!B54</f>
        <v>Autodrift</v>
      </c>
      <c r="D73" s="6">
        <f>Start!E54</f>
        <v>15</v>
      </c>
      <c r="E73" s="6">
        <f>Start!F54</f>
        <v>7</v>
      </c>
      <c r="F73" s="6">
        <f>Start!G54</f>
        <v>0</v>
      </c>
      <c r="G73" s="6">
        <f>Start!H54</f>
        <v>0</v>
      </c>
      <c r="H73" s="6">
        <f>Start!I54</f>
        <v>0</v>
      </c>
      <c r="I73" s="6">
        <f>Start!J54</f>
        <v>0</v>
      </c>
    </row>
    <row r="74" spans="3:9" ht="12.75">
      <c r="C74" s="6" t="str">
        <f>Start!B55</f>
        <v>Ejendomsskat</v>
      </c>
      <c r="D74" s="6">
        <f>Start!E55</f>
        <v>20</v>
      </c>
      <c r="E74" s="6">
        <f>Start!F55</f>
        <v>17</v>
      </c>
      <c r="F74" s="6">
        <f>Start!G55</f>
        <v>0</v>
      </c>
      <c r="G74" s="6">
        <f>Start!H55</f>
        <v>0</v>
      </c>
      <c r="H74" s="6">
        <f>Start!I55</f>
        <v>0</v>
      </c>
      <c r="I74" s="6">
        <f>Start!J55</f>
        <v>0</v>
      </c>
    </row>
    <row r="75" spans="3:9" ht="12.75">
      <c r="C75" s="6" t="str">
        <f>Start!B56</f>
        <v>Vedligeholdelse, bygninger</v>
      </c>
      <c r="D75" s="6">
        <f>Start!E56</f>
        <v>15</v>
      </c>
      <c r="E75" s="6">
        <f>Start!F56</f>
        <v>2</v>
      </c>
      <c r="F75" s="6">
        <f>Start!G56</f>
        <v>0</v>
      </c>
      <c r="G75" s="6">
        <f>Start!H56</f>
        <v>0</v>
      </c>
      <c r="H75" s="6">
        <f>Start!I56</f>
        <v>0</v>
      </c>
      <c r="I75" s="6">
        <f>Start!J56</f>
        <v>0</v>
      </c>
    </row>
    <row r="76" spans="3:9" ht="12.75">
      <c r="C76" s="6" t="str">
        <f>Start!B57</f>
        <v>Forpagtning </v>
      </c>
      <c r="D76" s="6">
        <f>Start!E57</f>
        <v>257</v>
      </c>
      <c r="E76" s="6">
        <f>Start!F57</f>
        <v>236</v>
      </c>
      <c r="F76" s="6">
        <f>Start!G57</f>
        <v>0</v>
      </c>
      <c r="G76" s="6">
        <f>Start!H57</f>
        <v>0</v>
      </c>
      <c r="H76" s="6">
        <f>Start!I57</f>
        <v>0</v>
      </c>
      <c r="I76" s="6">
        <f>Start!J57</f>
        <v>0</v>
      </c>
    </row>
    <row r="77" spans="3:9" ht="12.75">
      <c r="C77" s="6" t="str">
        <f>Start!B58</f>
        <v>Leje af driftsbygninger</v>
      </c>
      <c r="D77" s="6">
        <f>Start!E58</f>
        <v>0</v>
      </c>
      <c r="E77" s="6">
        <f>Start!F58</f>
        <v>0</v>
      </c>
      <c r="F77" s="6">
        <f>Start!G58</f>
        <v>0</v>
      </c>
      <c r="G77" s="6">
        <f>Start!H58</f>
        <v>0</v>
      </c>
      <c r="H77" s="6">
        <f>Start!I58</f>
        <v>0</v>
      </c>
      <c r="I77" s="6">
        <f>Start!J58</f>
        <v>0</v>
      </c>
    </row>
    <row r="78" spans="3:9" ht="12.75">
      <c r="C78" s="6" t="str">
        <f>Start!B59</f>
        <v>Forsikringer</v>
      </c>
      <c r="D78" s="6">
        <f>Start!E59</f>
        <v>27</v>
      </c>
      <c r="E78" s="6">
        <f>Start!F59</f>
        <v>33</v>
      </c>
      <c r="F78" s="6">
        <f>Start!G59</f>
        <v>0</v>
      </c>
      <c r="G78" s="6">
        <f>Start!H59</f>
        <v>0</v>
      </c>
      <c r="H78" s="6">
        <f>Start!I59</f>
        <v>0</v>
      </c>
      <c r="I78" s="6">
        <f>Start!J59</f>
        <v>0</v>
      </c>
    </row>
    <row r="79" spans="3:9" ht="12.75">
      <c r="C79" s="6">
        <f>IF(D79=0,"",Start!B60)</f>
      </c>
      <c r="D79" s="6">
        <f>Start!E60</f>
        <v>0</v>
      </c>
      <c r="E79" s="6">
        <f>Start!F60</f>
        <v>0</v>
      </c>
      <c r="F79" s="6">
        <f>Start!G60</f>
        <v>0</v>
      </c>
      <c r="G79" s="6">
        <f>Start!H60</f>
        <v>0</v>
      </c>
      <c r="H79" s="6">
        <f>Start!I60</f>
        <v>0</v>
      </c>
      <c r="I79" s="6">
        <f>Start!J60</f>
        <v>0</v>
      </c>
    </row>
    <row r="80" spans="3:9" ht="12.75">
      <c r="C80" s="6" t="str">
        <f>IF(D80=0,"",Start!B61)</f>
        <v>Leasing</v>
      </c>
      <c r="D80" s="6">
        <f>Start!E61</f>
        <v>91</v>
      </c>
      <c r="E80" s="6">
        <f>Start!F61</f>
        <v>91</v>
      </c>
      <c r="F80" s="6">
        <f>Start!G61</f>
        <v>0</v>
      </c>
      <c r="G80" s="6">
        <f>Start!H61</f>
        <v>0</v>
      </c>
      <c r="H80" s="6">
        <f>Start!I61</f>
        <v>0</v>
      </c>
      <c r="I80" s="6">
        <f>Start!J61</f>
        <v>0</v>
      </c>
    </row>
    <row r="81" spans="3:9" ht="12.75">
      <c r="C81" s="6" t="str">
        <f>Start!B62</f>
        <v>Revisor</v>
      </c>
      <c r="D81" s="6">
        <f>Start!E62</f>
        <v>30</v>
      </c>
      <c r="E81" s="6">
        <f>Start!F62</f>
        <v>39</v>
      </c>
      <c r="F81" s="6">
        <f>Start!G62</f>
        <v>0</v>
      </c>
      <c r="G81" s="6">
        <f>Start!H62</f>
        <v>0</v>
      </c>
      <c r="H81" s="6">
        <f>Start!I62</f>
        <v>0</v>
      </c>
      <c r="I81" s="6">
        <f>Start!J62</f>
        <v>0</v>
      </c>
    </row>
    <row r="82" spans="3:9" ht="12.75">
      <c r="C82" s="6" t="str">
        <f>Start!B63</f>
        <v>Andre kap. omkostninger</v>
      </c>
      <c r="D82" s="6">
        <f>Start!E63</f>
        <v>10</v>
      </c>
      <c r="E82" s="6">
        <f>Start!F63</f>
        <v>10</v>
      </c>
      <c r="F82" s="6">
        <f>Start!G63</f>
        <v>0</v>
      </c>
      <c r="G82" s="6">
        <f>Start!H63</f>
        <v>0</v>
      </c>
      <c r="H82" s="6">
        <f>Start!I63</f>
        <v>0</v>
      </c>
      <c r="I82" s="6">
        <f>Start!J63</f>
        <v>0</v>
      </c>
    </row>
    <row r="83" spans="2:11" ht="12.75">
      <c r="B83" s="8"/>
      <c r="C83" s="8" t="s">
        <v>16</v>
      </c>
      <c r="D83" s="8">
        <f aca="true" t="shared" si="11" ref="D83:I83">SUM(D73:D82)</f>
        <v>465</v>
      </c>
      <c r="E83" s="8">
        <f t="shared" si="11"/>
        <v>435</v>
      </c>
      <c r="F83" s="8">
        <f t="shared" si="11"/>
        <v>0</v>
      </c>
      <c r="G83" s="8">
        <f t="shared" si="11"/>
        <v>0</v>
      </c>
      <c r="H83" s="8">
        <f t="shared" si="11"/>
        <v>0</v>
      </c>
      <c r="I83" s="8">
        <f t="shared" si="11"/>
        <v>0</v>
      </c>
      <c r="J83" s="8"/>
      <c r="K83" s="8"/>
    </row>
    <row r="85" spans="2:11" ht="12.75">
      <c r="B85" s="8">
        <v>3</v>
      </c>
      <c r="C85" s="8" t="s">
        <v>21</v>
      </c>
      <c r="D85" s="8"/>
      <c r="E85" s="8"/>
      <c r="F85" s="8"/>
      <c r="G85" s="8"/>
      <c r="H85" s="8"/>
      <c r="I85" s="8"/>
      <c r="J85" s="8"/>
      <c r="K85" s="8"/>
    </row>
    <row r="86" spans="3:9" ht="12.75">
      <c r="C86" s="6" t="str">
        <f>Start!B67</f>
        <v>Bygninger og installationer</v>
      </c>
      <c r="D86" s="6">
        <f>Start!E67</f>
        <v>88</v>
      </c>
      <c r="E86" s="6">
        <f>Start!F67</f>
        <v>88</v>
      </c>
      <c r="F86" s="6">
        <f>Start!G67</f>
        <v>0</v>
      </c>
      <c r="G86" s="6">
        <f>Start!H67</f>
        <v>0</v>
      </c>
      <c r="H86" s="6">
        <f>Start!I67</f>
        <v>0</v>
      </c>
      <c r="I86" s="6">
        <f>Start!J67</f>
        <v>0</v>
      </c>
    </row>
    <row r="87" spans="3:9" ht="12.75">
      <c r="C87" s="6" t="str">
        <f>Start!B68</f>
        <v>Lejede lokaler</v>
      </c>
      <c r="D87" s="6">
        <f>Start!E68</f>
        <v>0</v>
      </c>
      <c r="E87" s="6">
        <f>Start!F68</f>
        <v>0</v>
      </c>
      <c r="F87" s="6">
        <f>Start!G68</f>
        <v>0</v>
      </c>
      <c r="G87" s="6">
        <f>Start!H68</f>
        <v>0</v>
      </c>
      <c r="H87" s="6">
        <f>Start!I68</f>
        <v>0</v>
      </c>
      <c r="I87" s="6">
        <f>Start!J68</f>
        <v>0</v>
      </c>
    </row>
    <row r="88" spans="3:9" ht="12.75">
      <c r="C88" s="6" t="str">
        <f>Start!B69</f>
        <v>Driftsmidler</v>
      </c>
      <c r="D88" s="6">
        <f>Start!E69</f>
        <v>153</v>
      </c>
      <c r="E88" s="6">
        <f>Start!F69</f>
        <v>153</v>
      </c>
      <c r="F88" s="6">
        <f>Start!G69</f>
        <v>0</v>
      </c>
      <c r="G88" s="6">
        <f>Start!H69</f>
        <v>0</v>
      </c>
      <c r="H88" s="6">
        <f>Start!I69</f>
        <v>0</v>
      </c>
      <c r="I88" s="6">
        <f>Start!J69</f>
        <v>0</v>
      </c>
    </row>
    <row r="89" spans="3:9" ht="12.75">
      <c r="C89" s="6" t="str">
        <f>Start!B70</f>
        <v>Afskrivninger på nye invest.</v>
      </c>
      <c r="D89" s="6">
        <f>Start!E70</f>
        <v>0</v>
      </c>
      <c r="E89" s="6">
        <v>0</v>
      </c>
      <c r="F89" s="6">
        <f>Start!G70</f>
        <v>0</v>
      </c>
      <c r="G89" s="6">
        <f>Start!H70</f>
        <v>0</v>
      </c>
      <c r="H89" s="6">
        <f>Start!I70</f>
        <v>0</v>
      </c>
      <c r="I89" s="6">
        <f>Start!J70</f>
        <v>0</v>
      </c>
    </row>
    <row r="90" spans="2:11" ht="12.75">
      <c r="B90" s="8"/>
      <c r="C90" s="8" t="s">
        <v>16</v>
      </c>
      <c r="D90" s="8">
        <f aca="true" t="shared" si="12" ref="D90:I90">SUM(D86:D89)</f>
        <v>241</v>
      </c>
      <c r="E90" s="8">
        <f t="shared" si="12"/>
        <v>241</v>
      </c>
      <c r="F90" s="8">
        <f t="shared" si="12"/>
        <v>0</v>
      </c>
      <c r="G90" s="8">
        <f t="shared" si="12"/>
        <v>0</v>
      </c>
      <c r="H90" s="8">
        <f t="shared" si="12"/>
        <v>0</v>
      </c>
      <c r="I90" s="8">
        <f t="shared" si="12"/>
        <v>0</v>
      </c>
      <c r="J90" s="8"/>
      <c r="K90" s="8"/>
    </row>
    <row r="92" spans="2:3" ht="12.75">
      <c r="B92" s="8">
        <v>4</v>
      </c>
      <c r="C92" s="8" t="s">
        <v>197</v>
      </c>
    </row>
    <row r="93" spans="3:9" ht="12.75">
      <c r="C93" s="6" t="str">
        <f>Start!B75</f>
        <v>Indtægter/udgifter u/moms</v>
      </c>
      <c r="D93" s="6">
        <f>Start!E75</f>
        <v>0</v>
      </c>
      <c r="E93" s="6">
        <f>Start!F75</f>
        <v>7</v>
      </c>
      <c r="F93" s="6">
        <f>Start!G75</f>
        <v>0</v>
      </c>
      <c r="G93" s="6">
        <f>Start!H75</f>
        <v>0</v>
      </c>
      <c r="H93" s="6">
        <f>Start!I75</f>
        <v>0</v>
      </c>
      <c r="I93" s="6">
        <f>Start!J75</f>
        <v>0</v>
      </c>
    </row>
    <row r="94" spans="3:9" ht="12.75">
      <c r="C94" s="6" t="str">
        <f>Start!B76</f>
        <v>Indtægter/udgifter m/moms</v>
      </c>
      <c r="D94" s="6">
        <f>Start!E76</f>
        <v>0</v>
      </c>
      <c r="E94" s="6">
        <f>Start!F76</f>
        <v>0</v>
      </c>
      <c r="F94" s="6">
        <f>Start!G76</f>
        <v>0</v>
      </c>
      <c r="G94" s="6">
        <f>Start!H76</f>
        <v>0</v>
      </c>
      <c r="H94" s="6">
        <f>Start!I76</f>
        <v>0</v>
      </c>
      <c r="I94" s="6">
        <f>Start!J76</f>
        <v>0</v>
      </c>
    </row>
    <row r="95" spans="3:9" ht="12.75">
      <c r="C95" s="6" t="str">
        <f>Start!B77</f>
        <v>Rentetilskud m.v.</v>
      </c>
      <c r="D95" s="6">
        <f>Start!E77</f>
        <v>0</v>
      </c>
      <c r="E95" s="6">
        <f>Start!F77</f>
        <v>0</v>
      </c>
      <c r="F95" s="6">
        <f>Start!G77</f>
        <v>0</v>
      </c>
      <c r="G95" s="6">
        <f>Start!H77</f>
        <v>0</v>
      </c>
      <c r="H95" s="6">
        <f>Start!I77</f>
        <v>0</v>
      </c>
      <c r="I95" s="6">
        <f>Start!J77</f>
        <v>0</v>
      </c>
    </row>
    <row r="96" spans="3:9" ht="12.75">
      <c r="C96" s="6" t="str">
        <f>Start!B78</f>
        <v>Andet</v>
      </c>
      <c r="D96" s="6">
        <f>Start!E78</f>
        <v>0</v>
      </c>
      <c r="E96" s="6">
        <f>Start!F78</f>
        <v>0</v>
      </c>
      <c r="F96" s="6">
        <f>Start!G78</f>
        <v>0</v>
      </c>
      <c r="G96" s="6">
        <f>Start!H78</f>
        <v>0</v>
      </c>
      <c r="H96" s="6">
        <f>Start!I78</f>
        <v>0</v>
      </c>
      <c r="I96" s="6">
        <f>Start!J78</f>
        <v>0</v>
      </c>
    </row>
    <row r="97" spans="2:11" ht="12.75">
      <c r="B97" s="8"/>
      <c r="C97" s="8" t="s">
        <v>16</v>
      </c>
      <c r="D97" s="8">
        <f aca="true" t="shared" si="13" ref="D97:I97">SUM(D93:D96)</f>
        <v>0</v>
      </c>
      <c r="E97" s="8">
        <f t="shared" si="13"/>
        <v>7</v>
      </c>
      <c r="F97" s="8">
        <f t="shared" si="13"/>
        <v>0</v>
      </c>
      <c r="G97" s="8">
        <f t="shared" si="13"/>
        <v>0</v>
      </c>
      <c r="H97" s="8">
        <f t="shared" si="13"/>
        <v>0</v>
      </c>
      <c r="I97" s="8">
        <f t="shared" si="13"/>
        <v>0</v>
      </c>
      <c r="J97" s="8"/>
      <c r="K97" s="8"/>
    </row>
    <row r="99" spans="2:11" ht="12.75">
      <c r="B99" s="8">
        <v>5</v>
      </c>
      <c r="C99" s="8" t="s">
        <v>30</v>
      </c>
      <c r="D99" s="8"/>
      <c r="E99" s="8"/>
      <c r="F99" s="8"/>
      <c r="G99" s="8"/>
      <c r="H99" s="8"/>
      <c r="I99" s="8"/>
      <c r="J99" s="8"/>
      <c r="K99" s="8"/>
    </row>
    <row r="100" spans="3:9" ht="12.75">
      <c r="C100" s="6" t="str">
        <f>Start!B82</f>
        <v>Renteindtægter</v>
      </c>
      <c r="D100" s="6">
        <f>Start!E82*-1</f>
        <v>0</v>
      </c>
      <c r="E100" s="6">
        <f>Start!F82*-1</f>
        <v>0</v>
      </c>
      <c r="F100" s="6">
        <f>Start!G82*-1</f>
        <v>0</v>
      </c>
      <c r="G100" s="6">
        <f>Start!H82*-1</f>
        <v>0</v>
      </c>
      <c r="H100" s="6">
        <f>Start!I82*-1</f>
        <v>0</v>
      </c>
      <c r="I100" s="6">
        <f>Start!J82*-1</f>
        <v>0</v>
      </c>
    </row>
    <row r="101" spans="3:9" ht="12.75">
      <c r="C101" s="6" t="str">
        <f>Start!B83</f>
        <v>Renteudgifter realkredit</v>
      </c>
      <c r="D101" s="6">
        <f>Start!E83</f>
        <v>320.1749672707978</v>
      </c>
      <c r="E101" s="6">
        <f>Start!F83</f>
        <v>319</v>
      </c>
      <c r="F101" s="6">
        <f>Start!G83</f>
        <v>0</v>
      </c>
      <c r="G101" s="6">
        <f>Start!H83</f>
        <v>0</v>
      </c>
      <c r="H101" s="6">
        <f>Start!I83</f>
        <v>0</v>
      </c>
      <c r="I101" s="6">
        <f>Start!J83</f>
        <v>0</v>
      </c>
    </row>
    <row r="102" spans="3:9" ht="12.75">
      <c r="C102" s="6" t="str">
        <f>Start!B84</f>
        <v>Renteudgifter banklån m.v.</v>
      </c>
      <c r="D102" s="6">
        <f>Start!E84</f>
        <v>13.495075119166128</v>
      </c>
      <c r="E102" s="6">
        <f>Start!F84</f>
        <v>26</v>
      </c>
      <c r="F102" s="6">
        <f>Start!G84</f>
        <v>0</v>
      </c>
      <c r="G102" s="6">
        <f>Start!H84</f>
        <v>0</v>
      </c>
      <c r="H102" s="6">
        <f>Start!I84</f>
        <v>0</v>
      </c>
      <c r="I102" s="6">
        <f>Start!J84</f>
        <v>0</v>
      </c>
    </row>
    <row r="103" spans="3:9" ht="12.75">
      <c r="C103" s="6" t="str">
        <f>Start!B85</f>
        <v>Renteudgifter kreditorer+kk</v>
      </c>
      <c r="D103" s="6">
        <f>D151</f>
        <v>155.71875</v>
      </c>
      <c r="E103" s="6">
        <f>Start!F85</f>
        <v>142</v>
      </c>
      <c r="F103" s="6">
        <f>Start!G85</f>
        <v>0</v>
      </c>
      <c r="G103" s="6">
        <f>Start!H85</f>
        <v>0</v>
      </c>
      <c r="H103" s="6">
        <f>Start!I85</f>
        <v>0</v>
      </c>
      <c r="I103" s="6">
        <f>Start!J85</f>
        <v>0</v>
      </c>
    </row>
    <row r="104" spans="3:9" ht="12.75">
      <c r="C104" s="6" t="str">
        <f>Start!B86</f>
        <v>Afskrivn. låneomkostninger</v>
      </c>
      <c r="D104" s="6">
        <f>Start!E86</f>
        <v>0</v>
      </c>
      <c r="E104" s="6">
        <f>Start!F86</f>
        <v>29</v>
      </c>
      <c r="F104" s="6">
        <f>Start!G86</f>
        <v>0</v>
      </c>
      <c r="G104" s="6">
        <f>Start!H86</f>
        <v>0</v>
      </c>
      <c r="H104" s="6">
        <f>Start!I86</f>
        <v>0</v>
      </c>
      <c r="I104" s="6">
        <f>Start!J86</f>
        <v>0</v>
      </c>
    </row>
    <row r="105" spans="3:9" ht="12.75">
      <c r="C105" s="6" t="str">
        <f>Start!B87</f>
        <v>Renteudgift af nye invest.</v>
      </c>
      <c r="D105" s="6">
        <f>Start!E87</f>
        <v>0</v>
      </c>
      <c r="E105" s="6">
        <f>Start!F87</f>
        <v>0</v>
      </c>
      <c r="F105" s="6">
        <f>Start!G87</f>
        <v>0</v>
      </c>
      <c r="G105" s="6">
        <f>Start!H87</f>
        <v>0</v>
      </c>
      <c r="H105" s="6">
        <f>Start!I87</f>
        <v>0</v>
      </c>
      <c r="I105" s="6">
        <f>Start!J87</f>
        <v>0</v>
      </c>
    </row>
    <row r="106" spans="2:11" ht="12.75">
      <c r="B106" s="8"/>
      <c r="C106" s="8" t="s">
        <v>16</v>
      </c>
      <c r="D106" s="8">
        <f aca="true" t="shared" si="14" ref="D106:I106">SUM(D100:D105)</f>
        <v>489.38879238996395</v>
      </c>
      <c r="E106" s="8">
        <f t="shared" si="14"/>
        <v>516</v>
      </c>
      <c r="F106" s="8">
        <f t="shared" si="14"/>
        <v>0</v>
      </c>
      <c r="G106" s="8">
        <f t="shared" si="14"/>
        <v>0</v>
      </c>
      <c r="H106" s="8">
        <f t="shared" si="14"/>
        <v>0</v>
      </c>
      <c r="I106" s="8">
        <f t="shared" si="14"/>
        <v>0</v>
      </c>
      <c r="J106" s="8"/>
      <c r="K106" s="8"/>
    </row>
    <row r="109" spans="10:11" ht="12.75">
      <c r="J109" s="412" t="s">
        <v>179</v>
      </c>
      <c r="K109" s="10">
        <f>K57+1</f>
        <v>7</v>
      </c>
    </row>
    <row r="110" spans="10:11" ht="12.75">
      <c r="J110" s="10"/>
      <c r="K110" s="10"/>
    </row>
    <row r="111" spans="4:11" ht="12.75">
      <c r="D111" s="365">
        <f aca="true" t="shared" si="15" ref="D111:I111">D59</f>
        <v>2011</v>
      </c>
      <c r="E111" s="365">
        <f t="shared" si="15"/>
        <v>2010</v>
      </c>
      <c r="F111" s="365">
        <f t="shared" si="15"/>
        <v>2009</v>
      </c>
      <c r="G111" s="365">
        <f t="shared" si="15"/>
        <v>2008</v>
      </c>
      <c r="H111" s="365">
        <f t="shared" si="15"/>
        <v>2007</v>
      </c>
      <c r="I111" s="365">
        <f t="shared" si="15"/>
        <v>2006</v>
      </c>
      <c r="J111" s="10"/>
      <c r="K111" s="10"/>
    </row>
    <row r="112" spans="2:9" ht="12.75">
      <c r="B112" s="8">
        <v>6</v>
      </c>
      <c r="C112" s="8" t="s">
        <v>37</v>
      </c>
      <c r="D112" s="8"/>
      <c r="E112" s="8"/>
      <c r="F112" s="8"/>
      <c r="G112" s="8"/>
      <c r="H112" s="8"/>
      <c r="I112" s="8"/>
    </row>
    <row r="113" spans="3:9" ht="12.75">
      <c r="C113" s="6" t="str">
        <f>Start!B91</f>
        <v>Lønindtægter m.v.</v>
      </c>
      <c r="D113" s="6">
        <f>Start!E91</f>
        <v>0</v>
      </c>
      <c r="E113" s="6">
        <f>Start!F91</f>
        <v>0</v>
      </c>
      <c r="F113" s="6">
        <f>Start!G91</f>
        <v>0</v>
      </c>
      <c r="G113" s="6">
        <f>Start!H91</f>
        <v>0</v>
      </c>
      <c r="H113" s="6">
        <f>Start!I91</f>
        <v>0</v>
      </c>
      <c r="I113" s="6">
        <f>Start!J91</f>
        <v>0</v>
      </c>
    </row>
    <row r="114" spans="3:9" ht="12.75">
      <c r="C114" s="6" t="str">
        <f>Start!B92</f>
        <v>Bet. ratepension m.v.</v>
      </c>
      <c r="D114" s="6">
        <f>Start!E92</f>
        <v>0</v>
      </c>
      <c r="E114" s="6">
        <f>Start!F92</f>
        <v>0</v>
      </c>
      <c r="F114" s="6">
        <f>Start!G92</f>
        <v>0</v>
      </c>
      <c r="G114" s="6">
        <f>Start!H92</f>
        <v>0</v>
      </c>
      <c r="H114" s="6">
        <f>Start!I92</f>
        <v>0</v>
      </c>
      <c r="I114" s="6">
        <f>Start!J92</f>
        <v>0</v>
      </c>
    </row>
    <row r="115" spans="3:9" ht="12.75">
      <c r="C115" s="6" t="str">
        <f>Start!B93</f>
        <v>Bet. kapitalpension</v>
      </c>
      <c r="D115" s="6">
        <f>Start!E93</f>
        <v>0</v>
      </c>
      <c r="E115" s="6">
        <f>Start!F93</f>
        <v>0</v>
      </c>
      <c r="F115" s="6">
        <f>Start!G93</f>
        <v>0</v>
      </c>
      <c r="G115" s="6">
        <f>Start!H93</f>
        <v>0</v>
      </c>
      <c r="H115" s="6">
        <f>Start!I93</f>
        <v>0</v>
      </c>
      <c r="I115" s="6">
        <f>Start!J93</f>
        <v>0</v>
      </c>
    </row>
    <row r="116" spans="3:9" ht="12.75">
      <c r="C116" s="6" t="str">
        <f>Start!B94</f>
        <v>Renteindtægter</v>
      </c>
      <c r="D116" s="6">
        <f>Start!E94</f>
        <v>0</v>
      </c>
      <c r="E116" s="6">
        <f>Start!F94</f>
        <v>0</v>
      </c>
      <c r="F116" s="6">
        <f>Start!G94</f>
        <v>0</v>
      </c>
      <c r="G116" s="6">
        <f>Start!H94</f>
        <v>0</v>
      </c>
      <c r="H116" s="6">
        <f>Start!I94</f>
        <v>0</v>
      </c>
      <c r="I116" s="6">
        <f>Start!J94</f>
        <v>0</v>
      </c>
    </row>
    <row r="117" spans="3:9" ht="12.75">
      <c r="C117" s="6" t="str">
        <f>Start!B95</f>
        <v>Andre kapitalindtægter</v>
      </c>
      <c r="D117" s="6">
        <f>Start!E95</f>
        <v>0</v>
      </c>
      <c r="E117" s="6">
        <f>Start!F95</f>
        <v>0</v>
      </c>
      <c r="F117" s="6">
        <f>Start!G95</f>
        <v>0</v>
      </c>
      <c r="G117" s="6">
        <f>Start!H95</f>
        <v>0</v>
      </c>
      <c r="H117" s="6">
        <f>Start!I95</f>
        <v>0</v>
      </c>
      <c r="I117" s="6">
        <f>Start!J95</f>
        <v>0</v>
      </c>
    </row>
    <row r="118" spans="3:9" ht="12.75">
      <c r="C118" s="6" t="str">
        <f>Start!B96</f>
        <v>Renteudgifter</v>
      </c>
      <c r="D118" s="6">
        <f>Start!E96</f>
        <v>0</v>
      </c>
      <c r="E118" s="6">
        <f>Start!F96</f>
        <v>0</v>
      </c>
      <c r="F118" s="6">
        <f>Start!G96</f>
        <v>0</v>
      </c>
      <c r="G118" s="6">
        <f>Start!H96</f>
        <v>0</v>
      </c>
      <c r="H118" s="6">
        <f>Start!I96</f>
        <v>0</v>
      </c>
      <c r="I118" s="6">
        <f>Start!J96</f>
        <v>0</v>
      </c>
    </row>
    <row r="119" spans="3:9" ht="12.75">
      <c r="C119" s="6" t="str">
        <f>Start!B97</f>
        <v>Faglige kontingenter m.v.</v>
      </c>
      <c r="D119" s="6">
        <f>Start!E97</f>
        <v>-5</v>
      </c>
      <c r="E119" s="6">
        <f>Start!F97</f>
        <v>-5</v>
      </c>
      <c r="F119" s="6">
        <f>Start!G97</f>
        <v>0</v>
      </c>
      <c r="G119" s="6">
        <f>Start!H97</f>
        <v>0</v>
      </c>
      <c r="H119" s="6">
        <f>Start!I97</f>
        <v>0</v>
      </c>
      <c r="I119" s="6">
        <f>Start!J97</f>
        <v>0</v>
      </c>
    </row>
    <row r="120" spans="2:11" ht="12.75">
      <c r="B120" s="8"/>
      <c r="C120" s="8" t="s">
        <v>16</v>
      </c>
      <c r="D120" s="8">
        <f aca="true" t="shared" si="16" ref="D120:I120">SUM(D113:D119)</f>
        <v>-5</v>
      </c>
      <c r="E120" s="8">
        <f t="shared" si="16"/>
        <v>-5</v>
      </c>
      <c r="F120" s="8">
        <f t="shared" si="16"/>
        <v>0</v>
      </c>
      <c r="G120" s="8">
        <f t="shared" si="16"/>
        <v>0</v>
      </c>
      <c r="H120" s="8">
        <f t="shared" si="16"/>
        <v>0</v>
      </c>
      <c r="I120" s="8">
        <f t="shared" si="16"/>
        <v>0</v>
      </c>
      <c r="J120" s="8"/>
      <c r="K120" s="8"/>
    </row>
    <row r="122" spans="2:11" ht="12.75">
      <c r="B122" s="8">
        <v>7</v>
      </c>
      <c r="C122" s="8" t="s">
        <v>45</v>
      </c>
      <c r="D122" s="8"/>
      <c r="E122" s="8"/>
      <c r="F122" s="8"/>
      <c r="G122" s="8"/>
      <c r="H122" s="8"/>
      <c r="I122" s="8"/>
      <c r="J122" s="8"/>
      <c r="K122" s="8"/>
    </row>
    <row r="123" spans="3:9" ht="12.75">
      <c r="C123" s="6" t="str">
        <f>Start!B101</f>
        <v>Lønindtægter m.v.</v>
      </c>
      <c r="D123" s="6">
        <f>Start!E101</f>
        <v>270</v>
      </c>
      <c r="E123" s="6">
        <f>Start!F101</f>
        <v>277</v>
      </c>
      <c r="F123" s="6">
        <f>Start!G101</f>
        <v>0</v>
      </c>
      <c r="G123" s="6">
        <f>Start!H101</f>
        <v>0</v>
      </c>
      <c r="H123" s="6">
        <f>Start!I101</f>
        <v>0</v>
      </c>
      <c r="I123" s="6">
        <f>Start!J101</f>
        <v>0</v>
      </c>
    </row>
    <row r="124" spans="3:9" ht="12.75">
      <c r="C124" s="6" t="str">
        <f>Start!B102</f>
        <v>Bet. ratepension m.v.</v>
      </c>
      <c r="D124" s="6">
        <f>Start!E102</f>
        <v>0</v>
      </c>
      <c r="E124" s="6">
        <f>Start!F102</f>
        <v>0</v>
      </c>
      <c r="F124" s="6">
        <f>Start!G102</f>
        <v>0</v>
      </c>
      <c r="G124" s="6">
        <f>Start!H102</f>
        <v>0</v>
      </c>
      <c r="H124" s="6">
        <f>Start!I102</f>
        <v>0</v>
      </c>
      <c r="I124" s="6">
        <f>Start!J102</f>
        <v>0</v>
      </c>
    </row>
    <row r="125" spans="3:9" ht="12.75">
      <c r="C125" s="6" t="str">
        <f>Start!B103</f>
        <v>Bet. kapitalpension</v>
      </c>
      <c r="D125" s="6">
        <f>Start!E103</f>
        <v>0</v>
      </c>
      <c r="E125" s="6">
        <f>Start!F103</f>
        <v>-2</v>
      </c>
      <c r="F125" s="6">
        <f>Start!G103</f>
        <v>0</v>
      </c>
      <c r="G125" s="6">
        <f>Start!H103</f>
        <v>0</v>
      </c>
      <c r="H125" s="6">
        <f>Start!I103</f>
        <v>0</v>
      </c>
      <c r="I125" s="6">
        <f>Start!J103</f>
        <v>0</v>
      </c>
    </row>
    <row r="126" spans="3:9" ht="12.75">
      <c r="C126" s="6" t="str">
        <f>Start!B104</f>
        <v>Renteindtægter</v>
      </c>
      <c r="D126" s="6">
        <f>Start!E104</f>
        <v>0</v>
      </c>
      <c r="E126" s="6">
        <f>Start!F104</f>
        <v>0</v>
      </c>
      <c r="F126" s="6">
        <f>Start!G104</f>
        <v>0</v>
      </c>
      <c r="G126" s="6">
        <f>Start!H104</f>
        <v>0</v>
      </c>
      <c r="H126" s="6">
        <f>Start!I104</f>
        <v>0</v>
      </c>
      <c r="I126" s="6">
        <f>Start!J104</f>
        <v>0</v>
      </c>
    </row>
    <row r="127" spans="3:9" ht="12.75">
      <c r="C127" s="6" t="str">
        <f>Start!B105</f>
        <v>Andre kapitalindkomster</v>
      </c>
      <c r="D127" s="6">
        <f>Start!E105</f>
        <v>0</v>
      </c>
      <c r="E127" s="6">
        <f>Start!F105</f>
        <v>0</v>
      </c>
      <c r="F127" s="6">
        <f>Start!G105</f>
        <v>0</v>
      </c>
      <c r="G127" s="6">
        <f>Start!H105</f>
        <v>0</v>
      </c>
      <c r="H127" s="6">
        <f>Start!I105</f>
        <v>0</v>
      </c>
      <c r="I127" s="6">
        <f>Start!J105</f>
        <v>0</v>
      </c>
    </row>
    <row r="128" spans="3:9" ht="12.75">
      <c r="C128" s="6" t="str">
        <f>Start!B106</f>
        <v>Renteudgifter</v>
      </c>
      <c r="D128" s="6">
        <f>Start!E106</f>
        <v>0</v>
      </c>
      <c r="E128" s="6">
        <f>Start!F106</f>
        <v>0</v>
      </c>
      <c r="F128" s="6">
        <f>Start!G106</f>
        <v>0</v>
      </c>
      <c r="G128" s="6">
        <f>Start!H106</f>
        <v>0</v>
      </c>
      <c r="H128" s="6">
        <f>Start!I106</f>
        <v>0</v>
      </c>
      <c r="I128" s="6">
        <f>Start!J106</f>
        <v>0</v>
      </c>
    </row>
    <row r="129" spans="3:9" ht="12.75">
      <c r="C129" s="6" t="str">
        <f>Start!B107</f>
        <v>Faglige kontingenter m.v.</v>
      </c>
      <c r="D129" s="6">
        <f>Start!E107</f>
        <v>-16</v>
      </c>
      <c r="E129" s="6">
        <f>Start!F107</f>
        <v>-18</v>
      </c>
      <c r="F129" s="6">
        <f>Start!G107</f>
        <v>0</v>
      </c>
      <c r="G129" s="6">
        <f>Start!H107</f>
        <v>0</v>
      </c>
      <c r="H129" s="6">
        <f>Start!I107</f>
        <v>0</v>
      </c>
      <c r="I129" s="6">
        <f>Start!J107</f>
        <v>0</v>
      </c>
    </row>
    <row r="130" spans="2:11" ht="12.75">
      <c r="B130" s="8"/>
      <c r="C130" s="8" t="s">
        <v>16</v>
      </c>
      <c r="D130" s="8">
        <f aca="true" t="shared" si="17" ref="D130:I130">SUM(D123:D129)</f>
        <v>254</v>
      </c>
      <c r="E130" s="8">
        <f t="shared" si="17"/>
        <v>257</v>
      </c>
      <c r="F130" s="8">
        <f t="shared" si="17"/>
        <v>0</v>
      </c>
      <c r="G130" s="8">
        <f t="shared" si="17"/>
        <v>0</v>
      </c>
      <c r="H130" s="8">
        <f t="shared" si="17"/>
        <v>0</v>
      </c>
      <c r="I130" s="8">
        <f t="shared" si="17"/>
        <v>0</v>
      </c>
      <c r="J130" s="8"/>
      <c r="K130" s="8"/>
    </row>
    <row r="132" spans="2:11" ht="12.75">
      <c r="B132" s="8">
        <v>8</v>
      </c>
      <c r="C132" s="8" t="s">
        <v>48</v>
      </c>
      <c r="D132" s="8"/>
      <c r="E132" s="8"/>
      <c r="F132" s="8"/>
      <c r="G132" s="8"/>
      <c r="H132" s="8"/>
      <c r="I132" s="8"/>
      <c r="J132" s="8"/>
      <c r="K132" s="8"/>
    </row>
    <row r="133" spans="3:9" ht="12.75">
      <c r="C133" s="6" t="str">
        <f>Start!B113</f>
        <v>Privatforbrug</v>
      </c>
      <c r="D133" s="6">
        <f>Start!E113</f>
        <v>225</v>
      </c>
      <c r="E133" s="6">
        <f>Start!F113</f>
        <v>276</v>
      </c>
      <c r="F133" s="6">
        <f>Start!G113</f>
        <v>0</v>
      </c>
      <c r="G133" s="6">
        <f>Start!H113</f>
        <v>0</v>
      </c>
      <c r="H133" s="6">
        <f>Start!I113</f>
        <v>0</v>
      </c>
      <c r="I133" s="6">
        <f>Start!J113</f>
        <v>0</v>
      </c>
    </row>
    <row r="134" spans="3:9" ht="12.75">
      <c r="C134" s="6" t="str">
        <f>Start!B114</f>
        <v>Afskrivning private aktiver</v>
      </c>
      <c r="D134" s="6">
        <f>Start!E114</f>
        <v>0</v>
      </c>
      <c r="E134" s="6">
        <f>Start!F114</f>
        <v>0</v>
      </c>
      <c r="F134" s="6">
        <f>Start!G114</f>
        <v>0</v>
      </c>
      <c r="G134" s="6">
        <f>Start!H114</f>
        <v>0</v>
      </c>
      <c r="H134" s="6">
        <f>Start!I114</f>
        <v>0</v>
      </c>
      <c r="I134" s="6">
        <f>Start!J114</f>
        <v>0</v>
      </c>
    </row>
    <row r="135" spans="3:9" ht="12.75">
      <c r="C135" s="6" t="str">
        <f>Start!B115</f>
        <v>Andre udgifter</v>
      </c>
      <c r="D135" s="6">
        <f>Start!E115</f>
        <v>20</v>
      </c>
      <c r="E135" s="6">
        <f>Start!F115</f>
        <v>1</v>
      </c>
      <c r="F135" s="6">
        <f>Start!G115</f>
        <v>0</v>
      </c>
      <c r="G135" s="6">
        <f>Start!H115</f>
        <v>0</v>
      </c>
      <c r="H135" s="6">
        <f>Start!I115</f>
        <v>0</v>
      </c>
      <c r="I135" s="6">
        <f>Start!J115</f>
        <v>0</v>
      </c>
    </row>
    <row r="136" spans="2:11" ht="12.75">
      <c r="B136" s="8"/>
      <c r="C136" s="8" t="s">
        <v>16</v>
      </c>
      <c r="D136" s="8">
        <f aca="true" t="shared" si="18" ref="D136:I136">SUM(D133:D135)</f>
        <v>245</v>
      </c>
      <c r="E136" s="8">
        <f t="shared" si="18"/>
        <v>277</v>
      </c>
      <c r="F136" s="8">
        <f t="shared" si="18"/>
        <v>0</v>
      </c>
      <c r="G136" s="8">
        <f t="shared" si="18"/>
        <v>0</v>
      </c>
      <c r="H136" s="8">
        <f t="shared" si="18"/>
        <v>0</v>
      </c>
      <c r="I136" s="8">
        <f t="shared" si="18"/>
        <v>0</v>
      </c>
      <c r="J136" s="8"/>
      <c r="K136" s="8"/>
    </row>
    <row r="138" spans="2:11" ht="12.75">
      <c r="B138" s="8">
        <v>9</v>
      </c>
      <c r="C138" s="8" t="s">
        <v>51</v>
      </c>
      <c r="D138" s="8"/>
      <c r="E138" s="8"/>
      <c r="F138" s="8"/>
      <c r="G138" s="8"/>
      <c r="H138" s="8"/>
      <c r="I138" s="8"/>
      <c r="J138" s="8"/>
      <c r="K138" s="8"/>
    </row>
    <row r="139" spans="3:9" ht="12.75">
      <c r="C139" s="6" t="str">
        <f>Start!B117</f>
        <v>Betalte skatter</v>
      </c>
      <c r="D139" s="6">
        <f>Start!E117</f>
        <v>50</v>
      </c>
      <c r="E139" s="6">
        <f>Start!F117</f>
        <v>32</v>
      </c>
      <c r="F139" s="6">
        <f>Start!G117</f>
        <v>0</v>
      </c>
      <c r="G139" s="6">
        <f>Start!H117</f>
        <v>0</v>
      </c>
      <c r="H139" s="6">
        <f>Start!I117</f>
        <v>0</v>
      </c>
      <c r="I139" s="6">
        <f>Start!J117</f>
        <v>0</v>
      </c>
    </row>
    <row r="140" spans="3:9" ht="12.75">
      <c r="C140" s="6" t="str">
        <f>Start!B118</f>
        <v>Udskudte skatter</v>
      </c>
      <c r="D140" s="6">
        <f>Start!E118</f>
        <v>85.36697842451628</v>
      </c>
      <c r="E140" s="6">
        <f>Start!F118</f>
        <v>0</v>
      </c>
      <c r="F140" s="6">
        <f>Start!G118</f>
        <v>0</v>
      </c>
      <c r="G140" s="6">
        <f>Start!H118</f>
        <v>0</v>
      </c>
      <c r="H140" s="6">
        <f>Start!I118</f>
        <v>0</v>
      </c>
      <c r="I140" s="6">
        <f>Start!J118</f>
        <v>0</v>
      </c>
    </row>
    <row r="141" spans="2:11" ht="12.75">
      <c r="B141" s="8"/>
      <c r="C141" s="8" t="s">
        <v>16</v>
      </c>
      <c r="D141" s="8">
        <f aca="true" t="shared" si="19" ref="D141:I141">SUM(D139:D140)</f>
        <v>135.36697842451628</v>
      </c>
      <c r="E141" s="8">
        <f t="shared" si="19"/>
        <v>32</v>
      </c>
      <c r="F141" s="8">
        <f t="shared" si="19"/>
        <v>0</v>
      </c>
      <c r="G141" s="8">
        <f t="shared" si="19"/>
        <v>0</v>
      </c>
      <c r="H141" s="8">
        <f t="shared" si="19"/>
        <v>0</v>
      </c>
      <c r="I141" s="8">
        <f t="shared" si="19"/>
        <v>0</v>
      </c>
      <c r="J141" s="8"/>
      <c r="K141" s="8"/>
    </row>
    <row r="144" spans="3:9" ht="12.75">
      <c r="C144" s="8" t="s">
        <v>272</v>
      </c>
      <c r="D144" s="403">
        <f>(D41+D42+D43+D44)/D38</f>
        <v>0.9518041381875928</v>
      </c>
      <c r="E144" s="403">
        <f>(E41+E42+E43+E44)/E38</f>
        <v>0.9527448533998752</v>
      </c>
      <c r="F144" s="403" t="e">
        <f>(F41+F42+F43+F44)/F38</f>
        <v>#DIV/0!</v>
      </c>
      <c r="G144" s="403" t="e">
        <f>(G41+G42+G43+G44)/G38</f>
        <v>#DIV/0!</v>
      </c>
      <c r="H144" s="403" t="e">
        <f>(H41+H42+H43+H44)/H38</f>
        <v>#DIV/0!</v>
      </c>
      <c r="I144" s="403"/>
    </row>
    <row r="146" spans="2:10" ht="12.75">
      <c r="B146" s="383"/>
      <c r="C146" s="555" t="s">
        <v>408</v>
      </c>
      <c r="D146" s="556"/>
      <c r="E146" s="556"/>
      <c r="F146" s="383"/>
      <c r="G146" s="383"/>
      <c r="H146" s="383"/>
      <c r="I146" s="383"/>
      <c r="J146" s="383"/>
    </row>
    <row r="147" spans="2:10" ht="12.75">
      <c r="B147" s="383"/>
      <c r="C147" s="557" t="s">
        <v>409</v>
      </c>
      <c r="D147" s="6">
        <f>Start!F148</f>
        <v>2512</v>
      </c>
      <c r="E147" s="556"/>
      <c r="F147" s="383"/>
      <c r="G147" s="402"/>
      <c r="H147" s="383"/>
      <c r="I147" s="383"/>
      <c r="J147" s="383"/>
    </row>
    <row r="148" spans="2:10" ht="12.75">
      <c r="B148" s="383"/>
      <c r="C148" s="6" t="s">
        <v>410</v>
      </c>
      <c r="D148" s="376">
        <f>Start!E152</f>
        <v>1613</v>
      </c>
      <c r="F148" s="383"/>
      <c r="G148" s="402"/>
      <c r="H148" s="383"/>
      <c r="I148" s="383"/>
      <c r="J148" s="383"/>
    </row>
    <row r="149" spans="2:15" ht="12.75">
      <c r="B149" s="383"/>
      <c r="D149" s="555">
        <f>SUM(D147:D148)</f>
        <v>4125</v>
      </c>
      <c r="F149" s="383"/>
      <c r="G149" s="383"/>
      <c r="H149" s="383"/>
      <c r="I149" s="383"/>
      <c r="J149" s="383"/>
      <c r="O149" s="8"/>
    </row>
    <row r="150" spans="2:15" ht="12.75">
      <c r="B150" s="383"/>
      <c r="C150" s="557" t="s">
        <v>411</v>
      </c>
      <c r="D150" s="6">
        <f>D149/2</f>
        <v>2062.5</v>
      </c>
      <c r="F150" s="406"/>
      <c r="G150" s="402"/>
      <c r="H150" s="383"/>
      <c r="I150" s="383"/>
      <c r="J150" s="383"/>
      <c r="O150" s="8"/>
    </row>
    <row r="151" spans="2:15" ht="12.75">
      <c r="B151" s="383"/>
      <c r="C151" s="555" t="s">
        <v>413</v>
      </c>
      <c r="D151" s="555">
        <f>D150*Start!E151</f>
        <v>155.71875</v>
      </c>
      <c r="E151" s="558">
        <f>Start!E151</f>
        <v>0.0755</v>
      </c>
      <c r="F151" s="383"/>
      <c r="G151" s="383"/>
      <c r="H151" s="383"/>
      <c r="I151" s="383"/>
      <c r="J151" s="383"/>
      <c r="O151" s="8"/>
    </row>
    <row r="152" ht="12.75">
      <c r="C152" s="8"/>
    </row>
    <row r="153" ht="12.75">
      <c r="C153" s="8"/>
    </row>
    <row r="154" spans="3:9" ht="12.75">
      <c r="C154" s="377" t="s">
        <v>247</v>
      </c>
      <c r="D154" s="338"/>
      <c r="E154" s="364" t="s">
        <v>55</v>
      </c>
      <c r="F154" s="364" t="s">
        <v>56</v>
      </c>
      <c r="G154" s="364" t="s">
        <v>250</v>
      </c>
      <c r="H154" s="364" t="s">
        <v>253</v>
      </c>
      <c r="I154" s="364" t="s">
        <v>93</v>
      </c>
    </row>
    <row r="155" spans="3:9" ht="12.75">
      <c r="C155" s="334" t="s">
        <v>248</v>
      </c>
      <c r="D155" s="334">
        <f>Start!E127</f>
        <v>0</v>
      </c>
      <c r="E155" s="366">
        <f>Start!F127</f>
        <v>6</v>
      </c>
      <c r="F155" s="378"/>
      <c r="G155" s="366">
        <f>Start!H127</f>
        <v>6</v>
      </c>
      <c r="H155" s="379"/>
      <c r="I155" s="366">
        <f>Start!J127</f>
        <v>0</v>
      </c>
    </row>
    <row r="156" spans="3:9" ht="12.75">
      <c r="C156" s="334" t="s">
        <v>249</v>
      </c>
      <c r="D156" s="334">
        <f>Start!E125</f>
        <v>0</v>
      </c>
      <c r="E156" s="361">
        <f>Start!F125</f>
        <v>0</v>
      </c>
      <c r="F156" s="361">
        <f>Start!G125</f>
        <v>0</v>
      </c>
      <c r="G156" s="361">
        <f>Start!H125</f>
        <v>0</v>
      </c>
      <c r="H156" s="363" t="str">
        <f>Start!I125</f>
        <v>0</v>
      </c>
      <c r="I156" s="362">
        <f>Start!J125</f>
        <v>0</v>
      </c>
    </row>
    <row r="157" spans="3:9" ht="12.75">
      <c r="C157" s="334" t="s">
        <v>174</v>
      </c>
      <c r="D157" s="334">
        <f>Start!E124</f>
        <v>0</v>
      </c>
      <c r="E157" s="361">
        <f>Start!F124</f>
        <v>6</v>
      </c>
      <c r="F157" s="361">
        <f>Start!G124</f>
        <v>15</v>
      </c>
      <c r="G157" s="361">
        <f>Start!H124</f>
        <v>6</v>
      </c>
      <c r="H157" s="363">
        <f>Start!I124</f>
        <v>0</v>
      </c>
      <c r="I157" s="362">
        <f>Start!J124</f>
        <v>0</v>
      </c>
    </row>
    <row r="158" spans="3:9" ht="12.75">
      <c r="C158" s="334" t="s">
        <v>246</v>
      </c>
      <c r="D158" s="334">
        <f>Start!E126</f>
        <v>0</v>
      </c>
      <c r="E158" s="361">
        <f>Start!F126</f>
        <v>5</v>
      </c>
      <c r="F158" s="316"/>
      <c r="G158" s="361">
        <f>Start!H126</f>
        <v>6</v>
      </c>
      <c r="H158" s="380"/>
      <c r="I158" s="362">
        <f>Start!J126</f>
        <v>0</v>
      </c>
    </row>
    <row r="159" spans="3:9" ht="12.75">
      <c r="C159" s="334" t="s">
        <v>251</v>
      </c>
      <c r="D159" s="334">
        <f>Start!E123</f>
        <v>0</v>
      </c>
      <c r="E159" s="361">
        <f>Start!F123</f>
        <v>4</v>
      </c>
      <c r="F159" s="361">
        <v>15</v>
      </c>
      <c r="G159" s="361">
        <f>Start!H123</f>
        <v>6</v>
      </c>
      <c r="H159" s="363">
        <f>Start!I123</f>
        <v>0</v>
      </c>
      <c r="I159" s="362">
        <f>Start!J123</f>
        <v>0</v>
      </c>
    </row>
    <row r="160" spans="3:9" ht="12.75">
      <c r="C160" s="334" t="s">
        <v>252</v>
      </c>
      <c r="D160" s="334">
        <f>Start!E122</f>
        <v>0</v>
      </c>
      <c r="E160" s="334">
        <f>Start!F122</f>
        <v>3</v>
      </c>
      <c r="F160" s="334">
        <f>Start!G122</f>
        <v>7</v>
      </c>
      <c r="G160" s="334">
        <f>Start!H122</f>
        <v>6</v>
      </c>
      <c r="H160" s="334">
        <f>Start!I122</f>
        <v>0</v>
      </c>
      <c r="I160" s="334">
        <f>Start!J122</f>
        <v>0</v>
      </c>
    </row>
    <row r="161" spans="3:9" ht="12.75">
      <c r="C161" s="335" t="s">
        <v>265</v>
      </c>
      <c r="D161" s="335">
        <f>SUM(D155:D160)</f>
        <v>0</v>
      </c>
      <c r="E161" s="377"/>
      <c r="F161" s="381"/>
      <c r="G161" s="382"/>
      <c r="H161" s="335">
        <f>SUM(H155:H160)</f>
        <v>0</v>
      </c>
      <c r="I161" s="335">
        <f>SUM(I155:I160)</f>
        <v>0</v>
      </c>
    </row>
    <row r="163" ht="12.75">
      <c r="C163" s="8"/>
    </row>
    <row r="164" spans="9:11" ht="12.75">
      <c r="I164" s="376"/>
      <c r="J164" s="376" t="s">
        <v>179</v>
      </c>
      <c r="K164" s="6">
        <f>K109+1</f>
        <v>8</v>
      </c>
    </row>
    <row r="166" spans="2:11" ht="15">
      <c r="B166" s="8"/>
      <c r="C166" s="405" t="s">
        <v>281</v>
      </c>
      <c r="D166" s="8"/>
      <c r="E166" s="8"/>
      <c r="F166" s="8"/>
      <c r="G166" s="8"/>
      <c r="H166" s="8"/>
      <c r="I166" s="8"/>
      <c r="J166" s="8"/>
      <c r="K166" s="8"/>
    </row>
    <row r="167" spans="2:11" ht="12.75">
      <c r="B167" s="10"/>
      <c r="C167" s="10" t="s">
        <v>237</v>
      </c>
      <c r="D167" s="10">
        <f>Start!F148*-1</f>
        <v>-2512</v>
      </c>
      <c r="E167" s="10"/>
      <c r="F167" s="10"/>
      <c r="G167" s="10"/>
      <c r="H167" s="10"/>
      <c r="I167" s="10"/>
      <c r="J167" s="10"/>
      <c r="K167" s="10"/>
    </row>
    <row r="168" spans="2:11" ht="12.75">
      <c r="B168" s="8"/>
      <c r="C168" s="10" t="s">
        <v>103</v>
      </c>
      <c r="D168" s="10">
        <f>D17</f>
        <v>131.81550761003615</v>
      </c>
      <c r="E168" s="8"/>
      <c r="F168" s="8"/>
      <c r="G168" s="8"/>
      <c r="H168" s="8"/>
      <c r="I168" s="8"/>
      <c r="J168" s="8"/>
      <c r="K168" s="8"/>
    </row>
    <row r="169" spans="2:11" ht="12.75">
      <c r="B169" s="8"/>
      <c r="C169" s="10" t="s">
        <v>233</v>
      </c>
      <c r="D169" s="10">
        <f>D13*-1</f>
        <v>241</v>
      </c>
      <c r="E169" s="8"/>
      <c r="F169" s="8"/>
      <c r="G169" s="8"/>
      <c r="H169" s="8"/>
      <c r="I169" s="8"/>
      <c r="J169" s="8"/>
      <c r="K169" s="8"/>
    </row>
    <row r="170" spans="2:11" ht="12.75">
      <c r="B170" s="8"/>
      <c r="C170" s="10" t="str">
        <f>C18</f>
        <v>Nettoresultat, indehaver privat</v>
      </c>
      <c r="D170" s="10">
        <f>D18</f>
        <v>-5</v>
      </c>
      <c r="E170" s="8"/>
      <c r="F170" s="8"/>
      <c r="G170" s="8"/>
      <c r="H170" s="8"/>
      <c r="I170" s="8"/>
      <c r="J170" s="8"/>
      <c r="K170" s="8"/>
    </row>
    <row r="171" spans="2:11" ht="12.75">
      <c r="B171" s="8"/>
      <c r="C171" s="10" t="str">
        <f>C19</f>
        <v>Nettoresultat, ægtefælle privat</v>
      </c>
      <c r="D171" s="10">
        <f>D19</f>
        <v>254</v>
      </c>
      <c r="E171" s="8"/>
      <c r="F171" s="8"/>
      <c r="G171" s="8"/>
      <c r="H171" s="8"/>
      <c r="I171" s="8"/>
      <c r="J171" s="8"/>
      <c r="K171" s="8"/>
    </row>
    <row r="172" spans="2:11" ht="12.75">
      <c r="B172" s="8"/>
      <c r="C172" s="10" t="s">
        <v>47</v>
      </c>
      <c r="D172" s="10">
        <f>D21</f>
        <v>0</v>
      </c>
      <c r="E172" s="8"/>
      <c r="F172" s="8"/>
      <c r="G172" s="8"/>
      <c r="H172" s="8"/>
      <c r="I172" s="8"/>
      <c r="J172" s="8"/>
      <c r="K172" s="8"/>
    </row>
    <row r="173" spans="2:11" ht="12.75">
      <c r="B173" s="8"/>
      <c r="C173" s="8" t="s">
        <v>238</v>
      </c>
      <c r="D173" s="10"/>
      <c r="E173" s="8"/>
      <c r="F173" s="8"/>
      <c r="G173" s="8"/>
      <c r="H173" s="8"/>
      <c r="I173" s="8"/>
      <c r="J173" s="8"/>
      <c r="K173" s="8"/>
    </row>
    <row r="174" spans="2:11" ht="12.75">
      <c r="B174" s="8"/>
      <c r="C174" s="10" t="s">
        <v>264</v>
      </c>
      <c r="D174" s="10">
        <f>Start!E127*-1</f>
        <v>0</v>
      </c>
      <c r="E174" s="8"/>
      <c r="F174" s="8"/>
      <c r="G174" s="8"/>
      <c r="H174" s="8"/>
      <c r="I174" s="8"/>
      <c r="J174" s="8"/>
      <c r="K174" s="8"/>
    </row>
    <row r="175" spans="2:11" ht="12.75">
      <c r="B175" s="8"/>
      <c r="C175" s="10" t="s">
        <v>249</v>
      </c>
      <c r="D175" s="10">
        <f>Start!E155*-1</f>
        <v>0</v>
      </c>
      <c r="E175" s="8"/>
      <c r="F175" s="8"/>
      <c r="G175" s="8"/>
      <c r="H175" s="8"/>
      <c r="I175" s="8"/>
      <c r="J175" s="8"/>
      <c r="K175" s="8"/>
    </row>
    <row r="176" spans="2:11" ht="12.75">
      <c r="B176" s="8"/>
      <c r="C176" s="10" t="s">
        <v>174</v>
      </c>
      <c r="D176" s="10">
        <f>Start!E124*-1</f>
        <v>0</v>
      </c>
      <c r="E176" s="8"/>
      <c r="F176" s="8"/>
      <c r="G176" s="8"/>
      <c r="H176" s="8"/>
      <c r="I176" s="8"/>
      <c r="J176" s="8"/>
      <c r="K176" s="8"/>
    </row>
    <row r="177" spans="2:11" ht="12.75">
      <c r="B177" s="8"/>
      <c r="C177" s="10" t="s">
        <v>246</v>
      </c>
      <c r="D177" s="10">
        <f>Start!E158*-1</f>
        <v>0</v>
      </c>
      <c r="E177" s="8"/>
      <c r="F177" s="8"/>
      <c r="G177" s="8"/>
      <c r="H177" s="8"/>
      <c r="I177" s="8"/>
      <c r="J177" s="8"/>
      <c r="K177" s="8"/>
    </row>
    <row r="178" spans="2:11" ht="12.75">
      <c r="B178" s="8"/>
      <c r="C178" s="10" t="s">
        <v>251</v>
      </c>
      <c r="D178" s="10">
        <f>Start!E157*-1</f>
        <v>0</v>
      </c>
      <c r="E178" s="8"/>
      <c r="F178" s="8"/>
      <c r="G178" s="8"/>
      <c r="H178" s="8"/>
      <c r="I178" s="8"/>
      <c r="J178" s="8"/>
      <c r="K178" s="8"/>
    </row>
    <row r="179" spans="3:4" ht="12.75">
      <c r="C179" s="6" t="s">
        <v>175</v>
      </c>
      <c r="D179" s="6">
        <f>Start!E122*-1</f>
        <v>0</v>
      </c>
    </row>
    <row r="180" ht="12.75">
      <c r="C180" s="8" t="s">
        <v>274</v>
      </c>
    </row>
    <row r="181" spans="3:4" ht="12.75">
      <c r="C181" s="6" t="s">
        <v>239</v>
      </c>
      <c r="D181" s="6">
        <f aca="true" t="shared" si="20" ref="D181:D186">(D32-E32)*-1</f>
        <v>0</v>
      </c>
    </row>
    <row r="182" spans="3:4" ht="12.75">
      <c r="C182" s="6" t="s">
        <v>229</v>
      </c>
      <c r="D182" s="6">
        <f t="shared" si="20"/>
        <v>0</v>
      </c>
    </row>
    <row r="183" spans="3:4" ht="12.75">
      <c r="C183" s="6" t="s">
        <v>173</v>
      </c>
      <c r="D183" s="6">
        <f t="shared" si="20"/>
        <v>0</v>
      </c>
    </row>
    <row r="184" spans="3:4" ht="12.75">
      <c r="C184" s="6" t="s">
        <v>112</v>
      </c>
      <c r="D184" s="6">
        <f t="shared" si="20"/>
        <v>0</v>
      </c>
    </row>
    <row r="185" spans="3:4" ht="12.75">
      <c r="C185" s="6" t="s">
        <v>90</v>
      </c>
      <c r="D185" s="6">
        <f t="shared" si="20"/>
        <v>0</v>
      </c>
    </row>
    <row r="186" spans="3:4" ht="12.75">
      <c r="C186" s="6" t="s">
        <v>113</v>
      </c>
      <c r="D186" s="6">
        <f t="shared" si="20"/>
        <v>0</v>
      </c>
    </row>
    <row r="187" ht="12.75">
      <c r="C187" s="8" t="s">
        <v>275</v>
      </c>
    </row>
    <row r="188" spans="3:4" ht="12.75">
      <c r="C188" s="6" t="s">
        <v>240</v>
      </c>
      <c r="D188" s="6">
        <f>(E42-D42)*-1</f>
        <v>-236.72195761003604</v>
      </c>
    </row>
    <row r="189" spans="3:4" ht="12.75">
      <c r="C189" s="6" t="s">
        <v>241</v>
      </c>
      <c r="D189" s="6">
        <f>(D44-E44)</f>
        <v>0</v>
      </c>
    </row>
    <row r="190" ht="12.75">
      <c r="C190" s="8" t="s">
        <v>276</v>
      </c>
    </row>
    <row r="191" spans="3:4" ht="12.75">
      <c r="C191" s="6" t="s">
        <v>48</v>
      </c>
      <c r="D191" s="6">
        <f>D23</f>
        <v>-245</v>
      </c>
    </row>
    <row r="192" spans="3:4" ht="12.75">
      <c r="C192" s="6" t="s">
        <v>242</v>
      </c>
      <c r="D192" s="6">
        <f>D24+D140</f>
        <v>-50</v>
      </c>
    </row>
    <row r="193" spans="2:11" ht="12.75">
      <c r="B193" s="8"/>
      <c r="C193" s="8" t="s">
        <v>243</v>
      </c>
      <c r="D193" s="8">
        <f>SUM(D167:D192)</f>
        <v>-2421.90645</v>
      </c>
      <c r="E193" s="8"/>
      <c r="F193" s="8"/>
      <c r="G193" s="8"/>
      <c r="H193" s="8"/>
      <c r="I193" s="8"/>
      <c r="J193" s="8"/>
      <c r="K193" s="8"/>
    </row>
    <row r="195" spans="3:5" ht="12.75">
      <c r="C195" s="8" t="str">
        <f>IF(D195="","","Difference")</f>
        <v>Difference</v>
      </c>
      <c r="D195" s="8">
        <f>IF(Start!E148+Årsbudget!D193=0,"",Start!E148+Årsbudget!D193)</f>
        <v>4.547473508864641E-13</v>
      </c>
      <c r="E195" s="8"/>
    </row>
    <row r="196" spans="3:5" ht="12.75">
      <c r="C196" s="8"/>
      <c r="D196" s="8"/>
      <c r="E196" s="8"/>
    </row>
  </sheetData>
  <sheetProtection password="C79E" sheet="1"/>
  <hyperlinks>
    <hyperlink ref="B2" location="Start!A1" display="&lt;"/>
    <hyperlink ref="B55" location="Start!A1" display="&lt;"/>
  </hyperlinks>
  <printOptions/>
  <pageMargins left="0.75" right="0.75" top="1" bottom="1" header="0.5" footer="0.5"/>
  <pageSetup horizontalDpi="600" verticalDpi="600" orientation="portrait" paperSize="9" r:id="rId2"/>
  <headerFooter alignWithMargins="0">
    <oddFooter>&amp;L&amp;D</oddFooter>
  </headerFooter>
  <rowBreaks count="1" manualBreakCount="1">
    <brk id="108" max="255" man="1"/>
  </rowBreaks>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9" sqref="E19"/>
    </sheetView>
  </sheetViews>
  <sheetFormatPr defaultColWidth="9.140625" defaultRowHeight="12.75"/>
  <cols>
    <col min="1" max="1" width="22.7109375" style="0" customWidth="1"/>
    <col min="2" max="2" width="11.421875" style="0" bestFit="1" customWidth="1"/>
    <col min="4" max="5" width="11.421875" style="0" bestFit="1" customWidth="1"/>
    <col min="6" max="6" width="9.8515625" style="0" bestFit="1" customWidth="1"/>
  </cols>
  <sheetData/>
  <sheetProtection/>
  <printOptions/>
  <pageMargins left="0.75" right="0.75" top="1" bottom="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T162"/>
  <sheetViews>
    <sheetView zoomScalePageLayoutView="0" workbookViewId="0" topLeftCell="A1">
      <selection activeCell="G6" sqref="G6"/>
    </sheetView>
  </sheetViews>
  <sheetFormatPr defaultColWidth="9.140625" defaultRowHeight="12.75"/>
  <cols>
    <col min="1" max="1" width="3.140625" style="0" customWidth="1"/>
    <col min="2" max="2" width="34.140625" style="0" customWidth="1"/>
    <col min="3" max="3" width="9.7109375" style="0" customWidth="1"/>
    <col min="4" max="4" width="10.7109375" style="0" customWidth="1"/>
    <col min="5" max="5" width="9.7109375" style="0" customWidth="1"/>
    <col min="6" max="6" width="10.57421875" style="0" customWidth="1"/>
    <col min="7" max="7" width="9.7109375" style="0" customWidth="1"/>
    <col min="8" max="8" width="1.1484375" style="6" customWidth="1"/>
  </cols>
  <sheetData>
    <row r="1" spans="1:20" ht="23.25">
      <c r="A1" s="214" t="s">
        <v>208</v>
      </c>
      <c r="B1" s="90" t="s">
        <v>201</v>
      </c>
      <c r="C1" s="91"/>
      <c r="D1" s="91"/>
      <c r="E1" s="91"/>
      <c r="F1" s="91"/>
      <c r="G1" s="91"/>
      <c r="H1" s="92"/>
      <c r="I1" s="91"/>
      <c r="J1" s="91"/>
      <c r="K1" s="91"/>
      <c r="L1" s="91"/>
      <c r="M1" s="91"/>
      <c r="N1" s="91"/>
      <c r="O1" s="91"/>
      <c r="P1" s="91"/>
      <c r="Q1" s="91"/>
      <c r="R1" s="91"/>
      <c r="S1" s="91"/>
      <c r="T1" s="91"/>
    </row>
    <row r="2" spans="1:20" ht="12.75">
      <c r="A2" s="91"/>
      <c r="B2" s="91"/>
      <c r="C2" s="91"/>
      <c r="D2" s="93"/>
      <c r="E2" s="93"/>
      <c r="F2" s="93"/>
      <c r="G2" s="93"/>
      <c r="H2" s="94"/>
      <c r="I2" s="91"/>
      <c r="J2" s="91"/>
      <c r="K2" s="91"/>
      <c r="L2" s="91"/>
      <c r="M2" s="91"/>
      <c r="N2" s="91"/>
      <c r="O2" s="91"/>
      <c r="P2" s="91"/>
      <c r="Q2" s="91"/>
      <c r="R2" s="91"/>
      <c r="S2" s="91"/>
      <c r="T2" s="91"/>
    </row>
    <row r="3" spans="1:20" ht="12.75">
      <c r="A3" s="91"/>
      <c r="B3" s="91"/>
      <c r="C3" s="91"/>
      <c r="D3" s="91"/>
      <c r="E3" s="91"/>
      <c r="F3" s="91"/>
      <c r="G3" s="91"/>
      <c r="H3" s="92"/>
      <c r="I3" s="91"/>
      <c r="J3" s="91"/>
      <c r="K3" s="91"/>
      <c r="L3" s="91"/>
      <c r="M3" s="91"/>
      <c r="N3" s="91"/>
      <c r="O3" s="91"/>
      <c r="P3" s="91"/>
      <c r="Q3" s="91"/>
      <c r="R3" s="91"/>
      <c r="S3" s="91"/>
      <c r="T3" s="91"/>
    </row>
    <row r="4" spans="1:20" ht="12.75">
      <c r="A4" s="91"/>
      <c r="B4" s="43" t="s">
        <v>202</v>
      </c>
      <c r="C4" s="44"/>
      <c r="D4" s="44"/>
      <c r="E4" s="44"/>
      <c r="F4" s="189"/>
      <c r="G4" s="91"/>
      <c r="H4" s="92"/>
      <c r="I4" s="91"/>
      <c r="J4" s="91"/>
      <c r="K4" s="91"/>
      <c r="L4" s="91"/>
      <c r="M4" s="91"/>
      <c r="N4" s="91"/>
      <c r="O4" s="91"/>
      <c r="P4" s="91"/>
      <c r="Q4" s="91"/>
      <c r="R4" s="91"/>
      <c r="S4" s="91"/>
      <c r="T4" s="91"/>
    </row>
    <row r="5" spans="1:20" ht="12.75">
      <c r="A5" s="91"/>
      <c r="B5" s="47"/>
      <c r="C5" s="48" t="s">
        <v>164</v>
      </c>
      <c r="D5" s="48" t="s">
        <v>165</v>
      </c>
      <c r="E5" s="58"/>
      <c r="F5" s="188"/>
      <c r="G5" s="91"/>
      <c r="H5" s="95"/>
      <c r="I5" s="91"/>
      <c r="J5" s="91"/>
      <c r="K5" s="91"/>
      <c r="L5" s="91"/>
      <c r="M5" s="91"/>
      <c r="N5" s="91"/>
      <c r="O5" s="91"/>
      <c r="P5" s="91"/>
      <c r="Q5" s="91"/>
      <c r="R5" s="91"/>
      <c r="S5" s="91"/>
      <c r="T5" s="91"/>
    </row>
    <row r="6" spans="1:20" ht="12.75">
      <c r="A6" s="91"/>
      <c r="B6" s="50" t="s">
        <v>142</v>
      </c>
      <c r="C6" s="51">
        <v>9.3</v>
      </c>
      <c r="D6" s="52" t="e">
        <f>((Kvæg!#REF!-'DIV.b'!C6)*-1*45+Kvæg!#REF!)</f>
        <v>#REF!</v>
      </c>
      <c r="E6" s="60"/>
      <c r="F6" s="188"/>
      <c r="G6" s="91"/>
      <c r="H6" s="92"/>
      <c r="I6" s="91"/>
      <c r="J6" s="91"/>
      <c r="K6" s="91"/>
      <c r="L6" s="91"/>
      <c r="M6" s="91"/>
      <c r="N6" s="91"/>
      <c r="O6" s="91"/>
      <c r="P6" s="91"/>
      <c r="Q6" s="91"/>
      <c r="R6" s="91"/>
      <c r="S6" s="91"/>
      <c r="T6" s="91"/>
    </row>
    <row r="7" spans="1:20" ht="12.75">
      <c r="A7" s="91"/>
      <c r="B7" s="46" t="s">
        <v>143</v>
      </c>
      <c r="C7" s="53">
        <v>9.5</v>
      </c>
      <c r="D7" s="52" t="e">
        <f>((Kvæg!#REF!-'DIV.b'!C7)*-1*45+Kvæg!#REF!)</f>
        <v>#REF!</v>
      </c>
      <c r="E7" s="60"/>
      <c r="F7" s="188"/>
      <c r="G7" s="91"/>
      <c r="H7" s="92"/>
      <c r="I7" s="91"/>
      <c r="J7" s="91"/>
      <c r="K7" s="91"/>
      <c r="L7" s="91"/>
      <c r="M7" s="91"/>
      <c r="N7" s="91"/>
      <c r="O7" s="91"/>
      <c r="P7" s="91"/>
      <c r="Q7" s="91"/>
      <c r="R7" s="91"/>
      <c r="S7" s="91"/>
      <c r="T7" s="91"/>
    </row>
    <row r="8" spans="1:20" ht="12.75">
      <c r="A8" s="91"/>
      <c r="B8" s="54" t="s">
        <v>144</v>
      </c>
      <c r="C8" s="53">
        <v>9.75</v>
      </c>
      <c r="D8" s="52" t="e">
        <f>((Kvæg!#REF!-'DIV.b'!C8)*-1*45+Kvæg!#REF!)</f>
        <v>#REF!</v>
      </c>
      <c r="E8" s="60"/>
      <c r="F8" s="188"/>
      <c r="G8" s="91"/>
      <c r="H8" s="92"/>
      <c r="I8" s="91"/>
      <c r="J8" s="91"/>
      <c r="K8" s="91"/>
      <c r="L8" s="91"/>
      <c r="M8" s="91"/>
      <c r="N8" s="91"/>
      <c r="O8" s="91"/>
      <c r="P8" s="91"/>
      <c r="Q8" s="91"/>
      <c r="R8" s="91"/>
      <c r="S8" s="91"/>
      <c r="T8" s="91"/>
    </row>
    <row r="9" spans="1:20" ht="12.75">
      <c r="A9" s="91"/>
      <c r="B9" s="46" t="s">
        <v>145</v>
      </c>
      <c r="C9" s="53">
        <v>9.5</v>
      </c>
      <c r="D9" s="52" t="e">
        <f>((Kvæg!#REF!-'DIV.b'!C9)*-1*45+Kvæg!#REF!)</f>
        <v>#REF!</v>
      </c>
      <c r="E9" s="60"/>
      <c r="F9" s="188"/>
      <c r="G9" s="91"/>
      <c r="H9" s="96"/>
      <c r="I9" s="91"/>
      <c r="J9" s="91"/>
      <c r="K9" s="91"/>
      <c r="L9" s="91"/>
      <c r="M9" s="91"/>
      <c r="N9" s="91"/>
      <c r="O9" s="91"/>
      <c r="P9" s="91"/>
      <c r="Q9" s="91"/>
      <c r="R9" s="91"/>
      <c r="S9" s="91"/>
      <c r="T9" s="91"/>
    </row>
    <row r="10" spans="1:20" ht="12.75">
      <c r="A10" s="91"/>
      <c r="B10" s="55" t="s">
        <v>146</v>
      </c>
      <c r="C10" s="56">
        <f>SUM(C6:C9)/4</f>
        <v>9.5125</v>
      </c>
      <c r="D10" s="57" t="e">
        <f>((Kvæg!#REF!-'DIV.b'!C10)*-1*45+Kvæg!#REF!)</f>
        <v>#REF!</v>
      </c>
      <c r="E10" s="62"/>
      <c r="F10" s="188"/>
      <c r="G10" s="91"/>
      <c r="H10" s="92"/>
      <c r="I10" s="91"/>
      <c r="J10" s="91"/>
      <c r="K10" s="91"/>
      <c r="L10" s="91"/>
      <c r="M10" s="91"/>
      <c r="N10" s="91"/>
      <c r="O10" s="91"/>
      <c r="P10" s="91"/>
      <c r="Q10" s="91"/>
      <c r="R10" s="91"/>
      <c r="S10" s="91"/>
      <c r="T10" s="91"/>
    </row>
    <row r="11" spans="1:20" ht="12.75">
      <c r="A11" s="91"/>
      <c r="B11" s="91"/>
      <c r="C11" s="91"/>
      <c r="D11" s="91"/>
      <c r="E11" s="91"/>
      <c r="F11" s="91"/>
      <c r="G11" s="91"/>
      <c r="H11" s="92"/>
      <c r="I11" s="91"/>
      <c r="J11" s="91"/>
      <c r="K11" s="91"/>
      <c r="L11" s="91"/>
      <c r="M11" s="91"/>
      <c r="N11" s="91"/>
      <c r="O11" s="91"/>
      <c r="P11" s="91"/>
      <c r="Q11" s="91"/>
      <c r="R11" s="91"/>
      <c r="S11" s="91"/>
      <c r="T11" s="91"/>
    </row>
    <row r="12" spans="1:20" ht="12.75">
      <c r="A12" s="91"/>
      <c r="B12" s="91"/>
      <c r="C12" s="91"/>
      <c r="D12" s="91"/>
      <c r="E12" s="91"/>
      <c r="F12" s="91"/>
      <c r="G12" s="91"/>
      <c r="H12" s="92"/>
      <c r="I12" s="91"/>
      <c r="J12" s="91"/>
      <c r="K12" s="91"/>
      <c r="L12" s="91"/>
      <c r="M12" s="91"/>
      <c r="N12" s="91"/>
      <c r="O12" s="91"/>
      <c r="P12" s="91"/>
      <c r="Q12" s="91"/>
      <c r="R12" s="91"/>
      <c r="S12" s="91"/>
      <c r="T12" s="91"/>
    </row>
    <row r="13" spans="1:20" ht="12.75">
      <c r="A13" s="91"/>
      <c r="B13" s="64" t="s">
        <v>141</v>
      </c>
      <c r="C13" s="76"/>
      <c r="D13" s="77"/>
      <c r="E13" s="78"/>
      <c r="F13" s="91"/>
      <c r="G13" s="91"/>
      <c r="H13" s="92"/>
      <c r="I13" s="91"/>
      <c r="J13" s="91"/>
      <c r="K13" s="91"/>
      <c r="L13" s="91"/>
      <c r="M13" s="91"/>
      <c r="N13" s="91"/>
      <c r="O13" s="91"/>
      <c r="P13" s="91"/>
      <c r="Q13" s="91"/>
      <c r="R13" s="91"/>
      <c r="S13" s="91"/>
      <c r="T13" s="91"/>
    </row>
    <row r="14" spans="1:20" ht="12.75">
      <c r="A14" s="91"/>
      <c r="B14" s="49"/>
      <c r="C14" s="48" t="s">
        <v>128</v>
      </c>
      <c r="D14" s="48" t="s">
        <v>129</v>
      </c>
      <c r="E14" s="65" t="s">
        <v>130</v>
      </c>
      <c r="F14" s="91"/>
      <c r="G14" s="91"/>
      <c r="H14" s="92"/>
      <c r="I14" s="91"/>
      <c r="J14" s="91"/>
      <c r="K14" s="91"/>
      <c r="L14" s="91"/>
      <c r="M14" s="91"/>
      <c r="N14" s="91"/>
      <c r="O14" s="91"/>
      <c r="P14" s="91"/>
      <c r="Q14" s="91"/>
      <c r="R14" s="91"/>
      <c r="S14" s="91"/>
      <c r="T14" s="91"/>
    </row>
    <row r="15" spans="1:20" ht="12.75">
      <c r="A15" s="91"/>
      <c r="B15" s="46" t="s">
        <v>131</v>
      </c>
      <c r="C15" s="66">
        <v>0.33</v>
      </c>
      <c r="D15" s="53">
        <v>0</v>
      </c>
      <c r="E15" s="67">
        <f aca="true" t="shared" si="0" ref="E15:E20">D15*C15</f>
        <v>0</v>
      </c>
      <c r="F15" s="91"/>
      <c r="G15" s="91"/>
      <c r="H15" s="92"/>
      <c r="I15" s="91"/>
      <c r="J15" s="91"/>
      <c r="K15" s="91"/>
      <c r="L15" s="91"/>
      <c r="M15" s="91"/>
      <c r="N15" s="91"/>
      <c r="O15" s="91"/>
      <c r="P15" s="91"/>
      <c r="Q15" s="91"/>
      <c r="R15" s="91"/>
      <c r="S15" s="91"/>
      <c r="T15" s="91"/>
    </row>
    <row r="16" spans="1:20" ht="12.75">
      <c r="A16" s="91"/>
      <c r="B16" s="46" t="s">
        <v>147</v>
      </c>
      <c r="C16" s="66">
        <v>0.27</v>
      </c>
      <c r="D16" s="53">
        <v>0</v>
      </c>
      <c r="E16" s="67">
        <f t="shared" si="0"/>
        <v>0</v>
      </c>
      <c r="F16" s="91"/>
      <c r="G16" s="91"/>
      <c r="H16" s="92"/>
      <c r="I16" s="91"/>
      <c r="J16" s="91"/>
      <c r="K16" s="91"/>
      <c r="L16" s="91"/>
      <c r="M16" s="91"/>
      <c r="N16" s="91"/>
      <c r="O16" s="91"/>
      <c r="P16" s="91"/>
      <c r="Q16" s="91"/>
      <c r="R16" s="91"/>
      <c r="S16" s="91"/>
      <c r="T16" s="91"/>
    </row>
    <row r="17" spans="1:20" ht="12.75">
      <c r="A17" s="91"/>
      <c r="B17" s="46" t="s">
        <v>148</v>
      </c>
      <c r="C17" s="66">
        <v>0.4</v>
      </c>
      <c r="D17" s="53">
        <v>0</v>
      </c>
      <c r="E17" s="67">
        <f t="shared" si="0"/>
        <v>0</v>
      </c>
      <c r="F17" s="91"/>
      <c r="G17" s="91"/>
      <c r="H17" s="92"/>
      <c r="I17" s="91"/>
      <c r="J17" s="91"/>
      <c r="K17" s="91"/>
      <c r="L17" s="91"/>
      <c r="M17" s="91"/>
      <c r="N17" s="91"/>
      <c r="O17" s="91"/>
      <c r="P17" s="91"/>
      <c r="Q17" s="91"/>
      <c r="R17" s="91"/>
      <c r="S17" s="91"/>
      <c r="T17" s="91"/>
    </row>
    <row r="18" spans="1:20" ht="12.75">
      <c r="A18" s="91"/>
      <c r="B18" s="46" t="s">
        <v>149</v>
      </c>
      <c r="C18" s="66">
        <v>0</v>
      </c>
      <c r="D18" s="53">
        <v>0</v>
      </c>
      <c r="E18" s="67">
        <f t="shared" si="0"/>
        <v>0</v>
      </c>
      <c r="F18" s="91"/>
      <c r="G18" s="91"/>
      <c r="H18" s="92"/>
      <c r="I18" s="91"/>
      <c r="J18" s="91"/>
      <c r="K18" s="91"/>
      <c r="L18" s="91"/>
      <c r="M18" s="91"/>
      <c r="N18" s="91"/>
      <c r="O18" s="91"/>
      <c r="P18" s="91"/>
      <c r="Q18" s="91"/>
      <c r="R18" s="91"/>
      <c r="S18" s="91"/>
      <c r="T18" s="91"/>
    </row>
    <row r="19" spans="1:20" ht="12.75">
      <c r="A19" s="91"/>
      <c r="B19" s="46" t="s">
        <v>150</v>
      </c>
      <c r="C19" s="66">
        <v>0</v>
      </c>
      <c r="D19" s="53">
        <v>0</v>
      </c>
      <c r="E19" s="67">
        <f t="shared" si="0"/>
        <v>0</v>
      </c>
      <c r="F19" s="91"/>
      <c r="G19" s="91"/>
      <c r="H19" s="92"/>
      <c r="I19" s="91"/>
      <c r="J19" s="91"/>
      <c r="K19" s="91"/>
      <c r="L19" s="91"/>
      <c r="M19" s="91"/>
      <c r="N19" s="91"/>
      <c r="O19" s="91"/>
      <c r="P19" s="91"/>
      <c r="Q19" s="91"/>
      <c r="R19" s="91"/>
      <c r="S19" s="91"/>
      <c r="T19" s="91"/>
    </row>
    <row r="20" spans="1:20" ht="12.75">
      <c r="A20" s="91"/>
      <c r="B20" s="68" t="s">
        <v>29</v>
      </c>
      <c r="C20" s="66">
        <v>0</v>
      </c>
      <c r="D20" s="53">
        <v>0</v>
      </c>
      <c r="E20" s="67">
        <f t="shared" si="0"/>
        <v>0</v>
      </c>
      <c r="F20" s="91"/>
      <c r="G20" s="91"/>
      <c r="H20" s="92"/>
      <c r="I20" s="91"/>
      <c r="J20" s="91"/>
      <c r="K20" s="91"/>
      <c r="L20" s="91"/>
      <c r="M20" s="91"/>
      <c r="N20" s="91"/>
      <c r="O20" s="91"/>
      <c r="P20" s="91"/>
      <c r="Q20" s="91"/>
      <c r="R20" s="91"/>
      <c r="S20" s="91"/>
      <c r="T20" s="91"/>
    </row>
    <row r="21" spans="1:20" ht="12.75">
      <c r="A21" s="91"/>
      <c r="B21" s="68" t="s">
        <v>29</v>
      </c>
      <c r="C21" s="66">
        <v>0</v>
      </c>
      <c r="D21" s="53">
        <v>0</v>
      </c>
      <c r="E21" s="67">
        <f>C21*D21</f>
        <v>0</v>
      </c>
      <c r="F21" s="91"/>
      <c r="G21" s="91"/>
      <c r="H21" s="92"/>
      <c r="I21" s="91"/>
      <c r="J21" s="91"/>
      <c r="K21" s="91"/>
      <c r="L21" s="91"/>
      <c r="M21" s="91"/>
      <c r="N21" s="91"/>
      <c r="O21" s="91"/>
      <c r="P21" s="91"/>
      <c r="Q21" s="91"/>
      <c r="R21" s="91"/>
      <c r="S21" s="91"/>
      <c r="T21" s="91"/>
    </row>
    <row r="22" spans="1:20" ht="12.75">
      <c r="A22" s="91"/>
      <c r="B22" s="64" t="s">
        <v>16</v>
      </c>
      <c r="C22" s="69">
        <f>SUM(C15:C21)</f>
        <v>1</v>
      </c>
      <c r="D22" s="70"/>
      <c r="E22" s="71">
        <f>SUM(E15:E21)</f>
        <v>0</v>
      </c>
      <c r="F22" s="91"/>
      <c r="G22" s="91"/>
      <c r="H22" s="92"/>
      <c r="I22" s="91"/>
      <c r="J22" s="91"/>
      <c r="K22" s="91"/>
      <c r="L22" s="91"/>
      <c r="M22" s="91"/>
      <c r="N22" s="91"/>
      <c r="O22" s="91"/>
      <c r="P22" s="91"/>
      <c r="Q22" s="91"/>
      <c r="R22" s="91"/>
      <c r="S22" s="91"/>
      <c r="T22" s="91"/>
    </row>
    <row r="23" spans="1:20" ht="12.75">
      <c r="A23" s="91"/>
      <c r="B23" s="72" t="s">
        <v>132</v>
      </c>
      <c r="C23" s="73"/>
      <c r="D23" s="53">
        <v>107</v>
      </c>
      <c r="E23" s="74"/>
      <c r="F23" s="91"/>
      <c r="G23" s="91"/>
      <c r="H23" s="92"/>
      <c r="I23" s="91"/>
      <c r="J23" s="91"/>
      <c r="K23" s="91"/>
      <c r="L23" s="91"/>
      <c r="M23" s="91"/>
      <c r="N23" s="91"/>
      <c r="O23" s="91"/>
      <c r="P23" s="91"/>
      <c r="Q23" s="91"/>
      <c r="R23" s="91"/>
      <c r="S23" s="91"/>
      <c r="T23" s="91"/>
    </row>
    <row r="24" spans="1:20" ht="12.75">
      <c r="A24" s="91"/>
      <c r="B24" s="64" t="s">
        <v>133</v>
      </c>
      <c r="C24" s="75"/>
      <c r="D24" s="75"/>
      <c r="E24" s="71">
        <f>E22/D23</f>
        <v>0</v>
      </c>
      <c r="F24" s="91"/>
      <c r="G24" s="91"/>
      <c r="H24" s="92"/>
      <c r="I24" s="91"/>
      <c r="J24" s="91"/>
      <c r="K24" s="91"/>
      <c r="L24" s="91"/>
      <c r="M24" s="91"/>
      <c r="N24" s="91"/>
      <c r="O24" s="91"/>
      <c r="P24" s="91"/>
      <c r="Q24" s="91"/>
      <c r="R24" s="91"/>
      <c r="S24" s="91"/>
      <c r="T24" s="91"/>
    </row>
    <row r="25" spans="1:20" ht="12.75">
      <c r="A25" s="91"/>
      <c r="B25" s="91"/>
      <c r="C25" s="91"/>
      <c r="D25" s="91"/>
      <c r="E25" s="91"/>
      <c r="F25" s="91"/>
      <c r="G25" s="91"/>
      <c r="H25" s="92"/>
      <c r="I25" s="91"/>
      <c r="J25" s="91"/>
      <c r="K25" s="91"/>
      <c r="L25" s="91"/>
      <c r="M25" s="91"/>
      <c r="N25" s="91"/>
      <c r="O25" s="91"/>
      <c r="P25" s="91"/>
      <c r="Q25" s="91"/>
      <c r="R25" s="91"/>
      <c r="S25" s="91"/>
      <c r="T25" s="91"/>
    </row>
    <row r="26" spans="1:20" ht="12.75">
      <c r="A26" s="91"/>
      <c r="B26" s="91"/>
      <c r="C26" s="91"/>
      <c r="D26" s="91"/>
      <c r="E26" s="91"/>
      <c r="F26" s="91"/>
      <c r="G26" s="91"/>
      <c r="H26" s="92"/>
      <c r="I26" s="91"/>
      <c r="J26" s="91"/>
      <c r="K26" s="91"/>
      <c r="L26" s="91"/>
      <c r="M26" s="91"/>
      <c r="N26" s="91"/>
      <c r="O26" s="91"/>
      <c r="P26" s="91"/>
      <c r="Q26" s="91"/>
      <c r="R26" s="91"/>
      <c r="S26" s="91"/>
      <c r="T26" s="91"/>
    </row>
    <row r="27" spans="1:20" ht="12.75">
      <c r="A27" s="214" t="s">
        <v>208</v>
      </c>
      <c r="B27" s="97"/>
      <c r="C27" s="91"/>
      <c r="D27" s="91"/>
      <c r="E27" s="193"/>
      <c r="F27" s="209"/>
      <c r="G27" s="210"/>
      <c r="H27" s="92"/>
      <c r="I27" s="91"/>
      <c r="J27" s="91"/>
      <c r="K27" s="91"/>
      <c r="L27" s="91"/>
      <c r="M27" s="91"/>
      <c r="N27" s="91"/>
      <c r="O27" s="91"/>
      <c r="P27" s="91"/>
      <c r="Q27" s="91"/>
      <c r="R27" s="91"/>
      <c r="S27" s="91"/>
      <c r="T27" s="91"/>
    </row>
    <row r="28" spans="1:20" ht="12.75">
      <c r="A28" s="91"/>
      <c r="B28" s="91"/>
      <c r="C28" s="98"/>
      <c r="D28" s="98"/>
      <c r="E28" s="98"/>
      <c r="F28" s="98"/>
      <c r="G28" s="98"/>
      <c r="H28" s="126"/>
      <c r="I28" s="91"/>
      <c r="J28" s="91"/>
      <c r="K28" s="91"/>
      <c r="L28" s="91"/>
      <c r="M28" s="91"/>
      <c r="N28" s="91"/>
      <c r="O28" s="91"/>
      <c r="P28" s="91"/>
      <c r="Q28" s="91"/>
      <c r="R28" s="91"/>
      <c r="S28" s="91"/>
      <c r="T28" s="91"/>
    </row>
    <row r="29" spans="1:20" ht="12.75">
      <c r="A29" s="91"/>
      <c r="B29" s="64" t="s">
        <v>158</v>
      </c>
      <c r="C29" s="49"/>
      <c r="D29" s="49"/>
      <c r="E29" s="49"/>
      <c r="F29" s="49"/>
      <c r="G29" s="59"/>
      <c r="H29" s="92"/>
      <c r="I29" s="91"/>
      <c r="J29" s="91"/>
      <c r="K29" s="91"/>
      <c r="L29" s="91"/>
      <c r="M29" s="91"/>
      <c r="N29" s="91"/>
      <c r="O29" s="91"/>
      <c r="P29" s="91"/>
      <c r="Q29" s="91"/>
      <c r="R29" s="91"/>
      <c r="S29" s="91"/>
      <c r="T29" s="91"/>
    </row>
    <row r="30" spans="1:20" ht="12.75">
      <c r="A30" s="91"/>
      <c r="B30" s="46" t="s">
        <v>160</v>
      </c>
      <c r="C30" s="196">
        <v>0.005</v>
      </c>
      <c r="D30" s="49"/>
      <c r="E30" s="49"/>
      <c r="F30" s="49"/>
      <c r="G30" s="61"/>
      <c r="H30" s="92"/>
      <c r="I30" s="91"/>
      <c r="J30" s="91"/>
      <c r="K30" s="91"/>
      <c r="L30" s="91"/>
      <c r="M30" s="91"/>
      <c r="N30" s="91"/>
      <c r="O30" s="91"/>
      <c r="P30" s="91"/>
      <c r="Q30" s="91"/>
      <c r="R30" s="91"/>
      <c r="S30" s="91"/>
      <c r="T30" s="91"/>
    </row>
    <row r="31" spans="1:20" ht="12.75">
      <c r="A31" s="91"/>
      <c r="B31" s="46" t="s">
        <v>198</v>
      </c>
      <c r="C31" s="68">
        <v>60</v>
      </c>
      <c r="D31" s="49"/>
      <c r="E31" s="49"/>
      <c r="F31" s="49"/>
      <c r="G31" s="61"/>
      <c r="H31" s="92"/>
      <c r="I31" s="91"/>
      <c r="J31" s="91"/>
      <c r="K31" s="91"/>
      <c r="L31" s="91"/>
      <c r="M31" s="91"/>
      <c r="N31" s="91"/>
      <c r="O31" s="91"/>
      <c r="P31" s="91"/>
      <c r="Q31" s="91"/>
      <c r="R31" s="91"/>
      <c r="S31" s="91"/>
      <c r="T31" s="91"/>
    </row>
    <row r="32" spans="1:20" ht="12.75">
      <c r="A32" s="91"/>
      <c r="B32" s="46" t="s">
        <v>161</v>
      </c>
      <c r="C32" s="197">
        <v>100000</v>
      </c>
      <c r="D32" s="49"/>
      <c r="E32" s="49"/>
      <c r="F32" s="49"/>
      <c r="G32" s="61"/>
      <c r="H32" s="92"/>
      <c r="I32" s="91"/>
      <c r="J32" s="91"/>
      <c r="K32" s="91"/>
      <c r="L32" s="91"/>
      <c r="M32" s="91"/>
      <c r="N32" s="91"/>
      <c r="O32" s="91"/>
      <c r="P32" s="91"/>
      <c r="Q32" s="91"/>
      <c r="R32" s="91"/>
      <c r="S32" s="91"/>
      <c r="T32" s="91"/>
    </row>
    <row r="33" spans="1:20" ht="12.75">
      <c r="A33" s="91"/>
      <c r="B33" s="73" t="s">
        <v>199</v>
      </c>
      <c r="C33" s="89">
        <f>PMT(C30,C31,C32,0)*-1</f>
        <v>1933.2801529427916</v>
      </c>
      <c r="D33" s="49"/>
      <c r="E33" s="49"/>
      <c r="F33" s="49"/>
      <c r="G33" s="61"/>
      <c r="H33" s="92"/>
      <c r="I33" s="91"/>
      <c r="J33" s="91"/>
      <c r="K33" s="91"/>
      <c r="L33" s="91"/>
      <c r="M33" s="91"/>
      <c r="N33" s="91"/>
      <c r="O33" s="91"/>
      <c r="P33" s="91"/>
      <c r="Q33" s="91"/>
      <c r="R33" s="91"/>
      <c r="S33" s="91"/>
      <c r="T33" s="91"/>
    </row>
    <row r="34" spans="1:20" ht="12.75">
      <c r="A34" s="91"/>
      <c r="B34" s="49"/>
      <c r="C34" s="85"/>
      <c r="D34" s="49"/>
      <c r="E34" s="49"/>
      <c r="F34" s="49"/>
      <c r="G34" s="61"/>
      <c r="H34" s="92"/>
      <c r="I34" s="91"/>
      <c r="J34" s="91"/>
      <c r="K34" s="91"/>
      <c r="L34" s="91"/>
      <c r="M34" s="91"/>
      <c r="N34" s="91"/>
      <c r="O34" s="91"/>
      <c r="P34" s="91"/>
      <c r="Q34" s="91"/>
      <c r="R34" s="91"/>
      <c r="S34" s="91"/>
      <c r="T34" s="91"/>
    </row>
    <row r="35" spans="1:20" ht="12.75">
      <c r="A35" s="91"/>
      <c r="B35" s="86" t="s">
        <v>162</v>
      </c>
      <c r="C35" s="198" t="s">
        <v>161</v>
      </c>
      <c r="D35" s="199" t="s">
        <v>163</v>
      </c>
      <c r="E35" s="199" t="s">
        <v>94</v>
      </c>
      <c r="F35" s="199" t="s">
        <v>95</v>
      </c>
      <c r="G35" s="199" t="s">
        <v>196</v>
      </c>
      <c r="H35" s="92"/>
      <c r="I35" s="91"/>
      <c r="J35" s="91"/>
      <c r="K35" s="91"/>
      <c r="L35" s="91"/>
      <c r="M35" s="91"/>
      <c r="N35" s="91"/>
      <c r="O35" s="91"/>
      <c r="P35" s="91"/>
      <c r="Q35" s="91"/>
      <c r="R35" s="91"/>
      <c r="S35" s="91"/>
      <c r="T35" s="91"/>
    </row>
    <row r="36" spans="1:20" ht="12.75">
      <c r="A36" s="91"/>
      <c r="B36" s="87">
        <v>1</v>
      </c>
      <c r="C36" s="88">
        <f>C32</f>
        <v>100000</v>
      </c>
      <c r="D36" s="88">
        <f aca="true" t="shared" si="1" ref="D36:D67">C$33</f>
        <v>1933.2801529427916</v>
      </c>
      <c r="E36" s="88">
        <f aca="true" t="shared" si="2" ref="E36:E67">C36*C$30</f>
        <v>500</v>
      </c>
      <c r="F36" s="88">
        <f>D36-E36</f>
        <v>1433.2801529427916</v>
      </c>
      <c r="G36" s="88">
        <f>C36-F36</f>
        <v>98566.7198470572</v>
      </c>
      <c r="H36" s="92"/>
      <c r="I36" s="91"/>
      <c r="J36" s="91"/>
      <c r="K36" s="91"/>
      <c r="L36" s="91"/>
      <c r="M36" s="91"/>
      <c r="N36" s="91"/>
      <c r="O36" s="91"/>
      <c r="P36" s="91"/>
      <c r="Q36" s="91"/>
      <c r="R36" s="91"/>
      <c r="S36" s="91"/>
      <c r="T36" s="91"/>
    </row>
    <row r="37" spans="1:20" ht="12.75">
      <c r="A37" s="91"/>
      <c r="B37" s="87">
        <v>2</v>
      </c>
      <c r="C37" s="88">
        <f aca="true" t="shared" si="3" ref="C37:C65">G36</f>
        <v>98566.7198470572</v>
      </c>
      <c r="D37" s="88">
        <f t="shared" si="1"/>
        <v>1933.2801529427916</v>
      </c>
      <c r="E37" s="88">
        <f t="shared" si="2"/>
        <v>492.83359923528604</v>
      </c>
      <c r="F37" s="88">
        <f>D37-E37</f>
        <v>1440.4465537075055</v>
      </c>
      <c r="G37" s="88">
        <f>C37-F37</f>
        <v>97126.2732933497</v>
      </c>
      <c r="H37" s="92"/>
      <c r="I37" s="91"/>
      <c r="J37" s="91"/>
      <c r="K37" s="91"/>
      <c r="L37" s="91"/>
      <c r="M37" s="91"/>
      <c r="N37" s="91"/>
      <c r="O37" s="91"/>
      <c r="P37" s="91"/>
      <c r="Q37" s="91"/>
      <c r="R37" s="91"/>
      <c r="S37" s="91"/>
      <c r="T37" s="91"/>
    </row>
    <row r="38" spans="1:20" ht="12.75">
      <c r="A38" s="91"/>
      <c r="B38" s="87">
        <v>3</v>
      </c>
      <c r="C38" s="88">
        <f t="shared" si="3"/>
        <v>97126.2732933497</v>
      </c>
      <c r="D38" s="88">
        <f t="shared" si="1"/>
        <v>1933.2801529427916</v>
      </c>
      <c r="E38" s="88">
        <f t="shared" si="2"/>
        <v>485.63136646674855</v>
      </c>
      <c r="F38" s="88">
        <f>D38-E38</f>
        <v>1447.648786476043</v>
      </c>
      <c r="G38" s="88">
        <f>C38-F38</f>
        <v>95678.62450687366</v>
      </c>
      <c r="H38" s="92"/>
      <c r="I38" s="91"/>
      <c r="J38" s="91"/>
      <c r="K38" s="91"/>
      <c r="L38" s="91"/>
      <c r="M38" s="91"/>
      <c r="N38" s="91"/>
      <c r="O38" s="91"/>
      <c r="P38" s="91"/>
      <c r="Q38" s="91"/>
      <c r="R38" s="91"/>
      <c r="S38" s="91"/>
      <c r="T38" s="91"/>
    </row>
    <row r="39" spans="1:20" ht="12.75">
      <c r="A39" s="91"/>
      <c r="B39" s="87">
        <v>4</v>
      </c>
      <c r="C39" s="88">
        <f t="shared" si="3"/>
        <v>95678.62450687366</v>
      </c>
      <c r="D39" s="88">
        <f t="shared" si="1"/>
        <v>1933.2801529427916</v>
      </c>
      <c r="E39" s="88">
        <f t="shared" si="2"/>
        <v>478.39312253436833</v>
      </c>
      <c r="F39" s="88">
        <f aca="true" t="shared" si="4" ref="F39:F65">D39-E39</f>
        <v>1454.8870304084232</v>
      </c>
      <c r="G39" s="88">
        <f aca="true" t="shared" si="5" ref="G39:G65">C39-F39</f>
        <v>94223.73747646523</v>
      </c>
      <c r="H39" s="92"/>
      <c r="I39" s="91"/>
      <c r="J39" s="91"/>
      <c r="K39" s="91"/>
      <c r="L39" s="91"/>
      <c r="M39" s="91"/>
      <c r="N39" s="91"/>
      <c r="O39" s="91"/>
      <c r="P39" s="91"/>
      <c r="Q39" s="91"/>
      <c r="R39" s="91"/>
      <c r="S39" s="91"/>
      <c r="T39" s="91"/>
    </row>
    <row r="40" spans="1:20" ht="12.75">
      <c r="A40" s="91"/>
      <c r="B40" s="87">
        <v>5</v>
      </c>
      <c r="C40" s="88">
        <f t="shared" si="3"/>
        <v>94223.73747646523</v>
      </c>
      <c r="D40" s="88">
        <f t="shared" si="1"/>
        <v>1933.2801529427916</v>
      </c>
      <c r="E40" s="88">
        <f t="shared" si="2"/>
        <v>471.1186873823262</v>
      </c>
      <c r="F40" s="88">
        <f t="shared" si="4"/>
        <v>1462.1614655604653</v>
      </c>
      <c r="G40" s="88">
        <f t="shared" si="5"/>
        <v>92761.57601090477</v>
      </c>
      <c r="H40" s="92"/>
      <c r="I40" s="91"/>
      <c r="J40" s="91"/>
      <c r="K40" s="91"/>
      <c r="L40" s="91"/>
      <c r="M40" s="91"/>
      <c r="N40" s="91"/>
      <c r="O40" s="91"/>
      <c r="P40" s="91"/>
      <c r="Q40" s="91"/>
      <c r="R40" s="91"/>
      <c r="S40" s="91"/>
      <c r="T40" s="91"/>
    </row>
    <row r="41" spans="1:20" ht="12.75">
      <c r="A41" s="91"/>
      <c r="B41" s="87">
        <v>6</v>
      </c>
      <c r="C41" s="88">
        <f t="shared" si="3"/>
        <v>92761.57601090477</v>
      </c>
      <c r="D41" s="88">
        <f t="shared" si="1"/>
        <v>1933.2801529427916</v>
      </c>
      <c r="E41" s="88">
        <f t="shared" si="2"/>
        <v>463.8078800545239</v>
      </c>
      <c r="F41" s="88">
        <f t="shared" si="4"/>
        <v>1469.4722728882678</v>
      </c>
      <c r="G41" s="88">
        <f t="shared" si="5"/>
        <v>91292.1037380165</v>
      </c>
      <c r="H41" s="92"/>
      <c r="I41" s="91"/>
      <c r="J41" s="91"/>
      <c r="K41" s="91"/>
      <c r="L41" s="91"/>
      <c r="M41" s="91"/>
      <c r="N41" s="91"/>
      <c r="O41" s="91"/>
      <c r="P41" s="91"/>
      <c r="Q41" s="91"/>
      <c r="R41" s="91"/>
      <c r="S41" s="91"/>
      <c r="T41" s="91"/>
    </row>
    <row r="42" spans="1:20" ht="12.75">
      <c r="A42" s="91"/>
      <c r="B42" s="87">
        <v>7</v>
      </c>
      <c r="C42" s="88">
        <f t="shared" si="3"/>
        <v>91292.1037380165</v>
      </c>
      <c r="D42" s="88">
        <f t="shared" si="1"/>
        <v>1933.2801529427916</v>
      </c>
      <c r="E42" s="88">
        <f t="shared" si="2"/>
        <v>456.46051869008255</v>
      </c>
      <c r="F42" s="88">
        <f t="shared" si="4"/>
        <v>1476.819634252709</v>
      </c>
      <c r="G42" s="88">
        <f t="shared" si="5"/>
        <v>89815.2841037638</v>
      </c>
      <c r="H42" s="92"/>
      <c r="I42" s="91"/>
      <c r="J42" s="91"/>
      <c r="K42" s="91"/>
      <c r="L42" s="91"/>
      <c r="M42" s="91"/>
      <c r="N42" s="91"/>
      <c r="O42" s="91"/>
      <c r="P42" s="91"/>
      <c r="Q42" s="91"/>
      <c r="R42" s="91"/>
      <c r="S42" s="91"/>
      <c r="T42" s="91"/>
    </row>
    <row r="43" spans="1:20" ht="12.75">
      <c r="A43" s="91"/>
      <c r="B43" s="87">
        <v>8</v>
      </c>
      <c r="C43" s="88">
        <f t="shared" si="3"/>
        <v>89815.2841037638</v>
      </c>
      <c r="D43" s="88">
        <f t="shared" si="1"/>
        <v>1933.2801529427916</v>
      </c>
      <c r="E43" s="88">
        <f t="shared" si="2"/>
        <v>449.076420518819</v>
      </c>
      <c r="F43" s="88">
        <f t="shared" si="4"/>
        <v>1484.2037324239725</v>
      </c>
      <c r="G43" s="88">
        <f t="shared" si="5"/>
        <v>88331.08037133982</v>
      </c>
      <c r="H43" s="92"/>
      <c r="I43" s="91"/>
      <c r="J43" s="91"/>
      <c r="K43" s="91"/>
      <c r="L43" s="91"/>
      <c r="M43" s="91"/>
      <c r="N43" s="91"/>
      <c r="O43" s="91"/>
      <c r="P43" s="91"/>
      <c r="Q43" s="91"/>
      <c r="R43" s="91"/>
      <c r="S43" s="91"/>
      <c r="T43" s="91"/>
    </row>
    <row r="44" spans="1:20" ht="12.75">
      <c r="A44" s="91"/>
      <c r="B44" s="87">
        <v>9</v>
      </c>
      <c r="C44" s="88">
        <f t="shared" si="3"/>
        <v>88331.08037133982</v>
      </c>
      <c r="D44" s="88">
        <f t="shared" si="1"/>
        <v>1933.2801529427916</v>
      </c>
      <c r="E44" s="88">
        <f t="shared" si="2"/>
        <v>441.6554018566991</v>
      </c>
      <c r="F44" s="88">
        <f t="shared" si="4"/>
        <v>1491.6247510860926</v>
      </c>
      <c r="G44" s="88">
        <f t="shared" si="5"/>
        <v>86839.45562025372</v>
      </c>
      <c r="H44" s="92"/>
      <c r="I44" s="91"/>
      <c r="J44" s="91"/>
      <c r="K44" s="91"/>
      <c r="L44" s="91"/>
      <c r="M44" s="91"/>
      <c r="N44" s="91"/>
      <c r="O44" s="91"/>
      <c r="P44" s="91"/>
      <c r="Q44" s="91"/>
      <c r="R44" s="91"/>
      <c r="S44" s="91"/>
      <c r="T44" s="91"/>
    </row>
    <row r="45" spans="1:20" ht="12.75">
      <c r="A45" s="91"/>
      <c r="B45" s="87">
        <v>10</v>
      </c>
      <c r="C45" s="88">
        <f t="shared" si="3"/>
        <v>86839.45562025372</v>
      </c>
      <c r="D45" s="88">
        <f t="shared" si="1"/>
        <v>1933.2801529427916</v>
      </c>
      <c r="E45" s="88">
        <f t="shared" si="2"/>
        <v>434.19727810126864</v>
      </c>
      <c r="F45" s="88">
        <f t="shared" si="4"/>
        <v>1499.0828748415229</v>
      </c>
      <c r="G45" s="88">
        <f t="shared" si="5"/>
        <v>85340.3727454122</v>
      </c>
      <c r="H45" s="92"/>
      <c r="I45" s="91"/>
      <c r="J45" s="91"/>
      <c r="K45" s="91"/>
      <c r="L45" s="91"/>
      <c r="M45" s="91"/>
      <c r="N45" s="91"/>
      <c r="O45" s="91"/>
      <c r="P45" s="91"/>
      <c r="Q45" s="91"/>
      <c r="R45" s="91"/>
      <c r="S45" s="91"/>
      <c r="T45" s="91"/>
    </row>
    <row r="46" spans="1:20" ht="12.75">
      <c r="A46" s="91"/>
      <c r="B46" s="87">
        <v>11</v>
      </c>
      <c r="C46" s="88">
        <f t="shared" si="3"/>
        <v>85340.3727454122</v>
      </c>
      <c r="D46" s="88">
        <f t="shared" si="1"/>
        <v>1933.2801529427916</v>
      </c>
      <c r="E46" s="88">
        <f t="shared" si="2"/>
        <v>426.701863727061</v>
      </c>
      <c r="F46" s="88">
        <f t="shared" si="4"/>
        <v>1506.5782892157306</v>
      </c>
      <c r="G46" s="88">
        <f t="shared" si="5"/>
        <v>83833.79445619647</v>
      </c>
      <c r="H46" s="92"/>
      <c r="I46" s="91"/>
      <c r="J46" s="91"/>
      <c r="K46" s="91"/>
      <c r="L46" s="91"/>
      <c r="M46" s="91"/>
      <c r="N46" s="91"/>
      <c r="O46" s="91"/>
      <c r="P46" s="91"/>
      <c r="Q46" s="91"/>
      <c r="R46" s="91"/>
      <c r="S46" s="91"/>
      <c r="T46" s="91"/>
    </row>
    <row r="47" spans="1:20" ht="12.75">
      <c r="A47" s="91"/>
      <c r="B47" s="87">
        <v>12</v>
      </c>
      <c r="C47" s="88">
        <f t="shared" si="3"/>
        <v>83833.79445619647</v>
      </c>
      <c r="D47" s="88">
        <f t="shared" si="1"/>
        <v>1933.2801529427916</v>
      </c>
      <c r="E47" s="88">
        <f t="shared" si="2"/>
        <v>419.16897228098236</v>
      </c>
      <c r="F47" s="88">
        <f t="shared" si="4"/>
        <v>1514.1111806618092</v>
      </c>
      <c r="G47" s="88">
        <f t="shared" si="5"/>
        <v>82319.68327553465</v>
      </c>
      <c r="H47" s="92"/>
      <c r="I47" s="91"/>
      <c r="J47" s="91"/>
      <c r="K47" s="91"/>
      <c r="L47" s="91"/>
      <c r="M47" s="91"/>
      <c r="N47" s="91"/>
      <c r="O47" s="91"/>
      <c r="P47" s="91"/>
      <c r="Q47" s="91"/>
      <c r="R47" s="91"/>
      <c r="S47" s="91"/>
      <c r="T47" s="91"/>
    </row>
    <row r="48" spans="1:20" ht="12.75">
      <c r="A48" s="91"/>
      <c r="B48" s="87">
        <v>13</v>
      </c>
      <c r="C48" s="88">
        <f t="shared" si="3"/>
        <v>82319.68327553465</v>
      </c>
      <c r="D48" s="88">
        <f t="shared" si="1"/>
        <v>1933.2801529427916</v>
      </c>
      <c r="E48" s="88">
        <f t="shared" si="2"/>
        <v>411.5984163776733</v>
      </c>
      <c r="F48" s="88">
        <f t="shared" si="4"/>
        <v>1521.6817365651182</v>
      </c>
      <c r="G48" s="88">
        <f t="shared" si="5"/>
        <v>80798.00153896953</v>
      </c>
      <c r="H48" s="92"/>
      <c r="I48" s="91"/>
      <c r="J48" s="91"/>
      <c r="K48" s="91"/>
      <c r="L48" s="91"/>
      <c r="M48" s="91"/>
      <c r="N48" s="91"/>
      <c r="O48" s="91"/>
      <c r="P48" s="91"/>
      <c r="Q48" s="91"/>
      <c r="R48" s="91"/>
      <c r="S48" s="91"/>
      <c r="T48" s="91"/>
    </row>
    <row r="49" spans="1:20" ht="12.75">
      <c r="A49" s="91"/>
      <c r="B49" s="87">
        <v>14</v>
      </c>
      <c r="C49" s="88">
        <f t="shared" si="3"/>
        <v>80798.00153896953</v>
      </c>
      <c r="D49" s="88">
        <f t="shared" si="1"/>
        <v>1933.2801529427916</v>
      </c>
      <c r="E49" s="88">
        <f t="shared" si="2"/>
        <v>403.9900076948477</v>
      </c>
      <c r="F49" s="88">
        <f t="shared" si="4"/>
        <v>1529.2901452479439</v>
      </c>
      <c r="G49" s="88">
        <f t="shared" si="5"/>
        <v>79268.71139372159</v>
      </c>
      <c r="H49" s="92"/>
      <c r="I49" s="91"/>
      <c r="J49" s="91"/>
      <c r="K49" s="91"/>
      <c r="L49" s="91"/>
      <c r="M49" s="91"/>
      <c r="N49" s="91"/>
      <c r="O49" s="91"/>
      <c r="P49" s="91"/>
      <c r="Q49" s="91"/>
      <c r="R49" s="91"/>
      <c r="S49" s="91"/>
      <c r="T49" s="91"/>
    </row>
    <row r="50" spans="1:20" ht="12.75">
      <c r="A50" s="91"/>
      <c r="B50" s="87">
        <v>15</v>
      </c>
      <c r="C50" s="88">
        <f t="shared" si="3"/>
        <v>79268.71139372159</v>
      </c>
      <c r="D50" s="88">
        <f t="shared" si="1"/>
        <v>1933.2801529427916</v>
      </c>
      <c r="E50" s="88">
        <f t="shared" si="2"/>
        <v>396.34355696860797</v>
      </c>
      <c r="F50" s="88">
        <f t="shared" si="4"/>
        <v>1536.9365959741835</v>
      </c>
      <c r="G50" s="88">
        <f t="shared" si="5"/>
        <v>77731.7747977474</v>
      </c>
      <c r="H50" s="92"/>
      <c r="I50" s="91"/>
      <c r="J50" s="91"/>
      <c r="K50" s="91"/>
      <c r="L50" s="91"/>
      <c r="M50" s="91"/>
      <c r="N50" s="91"/>
      <c r="O50" s="91"/>
      <c r="P50" s="91"/>
      <c r="Q50" s="91"/>
      <c r="R50" s="91"/>
      <c r="S50" s="91"/>
      <c r="T50" s="91"/>
    </row>
    <row r="51" spans="1:20" ht="12.75">
      <c r="A51" s="91"/>
      <c r="B51" s="87">
        <v>16</v>
      </c>
      <c r="C51" s="88">
        <f t="shared" si="3"/>
        <v>77731.7747977474</v>
      </c>
      <c r="D51" s="88">
        <f t="shared" si="1"/>
        <v>1933.2801529427916</v>
      </c>
      <c r="E51" s="88">
        <f t="shared" si="2"/>
        <v>388.658873988737</v>
      </c>
      <c r="F51" s="88">
        <f t="shared" si="4"/>
        <v>1544.6212789540546</v>
      </c>
      <c r="G51" s="88">
        <f t="shared" si="5"/>
        <v>76187.15351879335</v>
      </c>
      <c r="H51" s="92"/>
      <c r="I51" s="91"/>
      <c r="J51" s="91"/>
      <c r="K51" s="91"/>
      <c r="L51" s="91"/>
      <c r="M51" s="91"/>
      <c r="N51" s="91"/>
      <c r="O51" s="91"/>
      <c r="P51" s="91"/>
      <c r="Q51" s="91"/>
      <c r="R51" s="91"/>
      <c r="S51" s="91"/>
      <c r="T51" s="91"/>
    </row>
    <row r="52" spans="1:20" ht="12.75">
      <c r="A52" s="91"/>
      <c r="B52" s="87">
        <v>17</v>
      </c>
      <c r="C52" s="88">
        <f t="shared" si="3"/>
        <v>76187.15351879335</v>
      </c>
      <c r="D52" s="88">
        <f t="shared" si="1"/>
        <v>1933.2801529427916</v>
      </c>
      <c r="E52" s="88">
        <f t="shared" si="2"/>
        <v>380.9357675939668</v>
      </c>
      <c r="F52" s="88">
        <f t="shared" si="4"/>
        <v>1552.3443853488247</v>
      </c>
      <c r="G52" s="88">
        <f t="shared" si="5"/>
        <v>74634.80913344452</v>
      </c>
      <c r="H52" s="92"/>
      <c r="I52" s="91"/>
      <c r="J52" s="91"/>
      <c r="K52" s="91"/>
      <c r="L52" s="91"/>
      <c r="M52" s="91"/>
      <c r="N52" s="91"/>
      <c r="O52" s="91"/>
      <c r="P52" s="91"/>
      <c r="Q52" s="91"/>
      <c r="R52" s="91"/>
      <c r="S52" s="91"/>
      <c r="T52" s="91"/>
    </row>
    <row r="53" spans="1:20" ht="12.75">
      <c r="A53" s="91"/>
      <c r="B53" s="87">
        <v>18</v>
      </c>
      <c r="C53" s="88">
        <f t="shared" si="3"/>
        <v>74634.80913344452</v>
      </c>
      <c r="D53" s="88">
        <f t="shared" si="1"/>
        <v>1933.2801529427916</v>
      </c>
      <c r="E53" s="88">
        <f t="shared" si="2"/>
        <v>373.17404566722263</v>
      </c>
      <c r="F53" s="88">
        <f t="shared" si="4"/>
        <v>1560.106107275569</v>
      </c>
      <c r="G53" s="88">
        <f t="shared" si="5"/>
        <v>73074.70302616895</v>
      </c>
      <c r="H53" s="92"/>
      <c r="I53" s="91"/>
      <c r="J53" s="91"/>
      <c r="K53" s="91"/>
      <c r="L53" s="91"/>
      <c r="M53" s="91"/>
      <c r="N53" s="91"/>
      <c r="O53" s="91"/>
      <c r="P53" s="91"/>
      <c r="Q53" s="91"/>
      <c r="R53" s="91"/>
      <c r="S53" s="91"/>
      <c r="T53" s="91"/>
    </row>
    <row r="54" spans="1:20" ht="12.75">
      <c r="A54" s="91"/>
      <c r="B54" s="87">
        <v>19</v>
      </c>
      <c r="C54" s="88">
        <f t="shared" si="3"/>
        <v>73074.70302616895</v>
      </c>
      <c r="D54" s="88">
        <f t="shared" si="1"/>
        <v>1933.2801529427916</v>
      </c>
      <c r="E54" s="88">
        <f t="shared" si="2"/>
        <v>365.37351513084474</v>
      </c>
      <c r="F54" s="88">
        <f t="shared" si="4"/>
        <v>1567.906637811947</v>
      </c>
      <c r="G54" s="88">
        <f t="shared" si="5"/>
        <v>71506.796388357</v>
      </c>
      <c r="H54" s="92"/>
      <c r="I54" s="91"/>
      <c r="J54" s="91"/>
      <c r="K54" s="91"/>
      <c r="L54" s="91"/>
      <c r="M54" s="91"/>
      <c r="N54" s="91"/>
      <c r="O54" s="91"/>
      <c r="P54" s="91"/>
      <c r="Q54" s="91"/>
      <c r="R54" s="91"/>
      <c r="S54" s="91"/>
      <c r="T54" s="91"/>
    </row>
    <row r="55" spans="1:20" ht="12.75">
      <c r="A55" s="91"/>
      <c r="B55" s="87">
        <v>20</v>
      </c>
      <c r="C55" s="88">
        <f t="shared" si="3"/>
        <v>71506.796388357</v>
      </c>
      <c r="D55" s="88">
        <f t="shared" si="1"/>
        <v>1933.2801529427916</v>
      </c>
      <c r="E55" s="88">
        <f t="shared" si="2"/>
        <v>357.53398194178504</v>
      </c>
      <c r="F55" s="88">
        <f t="shared" si="4"/>
        <v>1575.7461710010066</v>
      </c>
      <c r="G55" s="88">
        <f t="shared" si="5"/>
        <v>69931.050217356</v>
      </c>
      <c r="H55" s="92"/>
      <c r="I55" s="91"/>
      <c r="J55" s="91"/>
      <c r="K55" s="91"/>
      <c r="L55" s="91"/>
      <c r="M55" s="91"/>
      <c r="N55" s="91"/>
      <c r="O55" s="91"/>
      <c r="P55" s="91"/>
      <c r="Q55" s="91"/>
      <c r="R55" s="91"/>
      <c r="S55" s="91"/>
      <c r="T55" s="91"/>
    </row>
    <row r="56" spans="1:20" ht="12.75">
      <c r="A56" s="91"/>
      <c r="B56" s="87">
        <v>21</v>
      </c>
      <c r="C56" s="88">
        <f t="shared" si="3"/>
        <v>69931.050217356</v>
      </c>
      <c r="D56" s="88">
        <f t="shared" si="1"/>
        <v>1933.2801529427916</v>
      </c>
      <c r="E56" s="88">
        <f t="shared" si="2"/>
        <v>349.65525108677997</v>
      </c>
      <c r="F56" s="88">
        <f t="shared" si="4"/>
        <v>1583.6249018560115</v>
      </c>
      <c r="G56" s="88">
        <f t="shared" si="5"/>
        <v>68347.42531549999</v>
      </c>
      <c r="H56" s="92"/>
      <c r="I56" s="91"/>
      <c r="J56" s="91"/>
      <c r="K56" s="91"/>
      <c r="L56" s="91"/>
      <c r="M56" s="91"/>
      <c r="N56" s="91"/>
      <c r="O56" s="91"/>
      <c r="P56" s="91"/>
      <c r="Q56" s="91"/>
      <c r="R56" s="91"/>
      <c r="S56" s="91"/>
      <c r="T56" s="91"/>
    </row>
    <row r="57" spans="1:20" ht="12.75">
      <c r="A57" s="91"/>
      <c r="B57" s="87">
        <v>22</v>
      </c>
      <c r="C57" s="88">
        <f t="shared" si="3"/>
        <v>68347.42531549999</v>
      </c>
      <c r="D57" s="88">
        <f t="shared" si="1"/>
        <v>1933.2801529427916</v>
      </c>
      <c r="E57" s="88">
        <f t="shared" si="2"/>
        <v>341.73712657749996</v>
      </c>
      <c r="F57" s="88">
        <f t="shared" si="4"/>
        <v>1591.5430263652916</v>
      </c>
      <c r="G57" s="88">
        <f t="shared" si="5"/>
        <v>66755.8822891347</v>
      </c>
      <c r="H57" s="92"/>
      <c r="I57" s="91"/>
      <c r="J57" s="91"/>
      <c r="K57" s="91"/>
      <c r="L57" s="91"/>
      <c r="M57" s="91"/>
      <c r="N57" s="91"/>
      <c r="O57" s="91"/>
      <c r="P57" s="91"/>
      <c r="Q57" s="91"/>
      <c r="R57" s="91"/>
      <c r="S57" s="91"/>
      <c r="T57" s="91"/>
    </row>
    <row r="58" spans="1:20" ht="12.75">
      <c r="A58" s="91"/>
      <c r="B58" s="87">
        <v>23</v>
      </c>
      <c r="C58" s="88">
        <f t="shared" si="3"/>
        <v>66755.8822891347</v>
      </c>
      <c r="D58" s="88">
        <f t="shared" si="1"/>
        <v>1933.2801529427916</v>
      </c>
      <c r="E58" s="88">
        <f t="shared" si="2"/>
        <v>333.7794114456735</v>
      </c>
      <c r="F58" s="88">
        <f t="shared" si="4"/>
        <v>1599.500741497118</v>
      </c>
      <c r="G58" s="88">
        <f t="shared" si="5"/>
        <v>65156.381547637575</v>
      </c>
      <c r="H58" s="92"/>
      <c r="I58" s="91"/>
      <c r="J58" s="91"/>
      <c r="K58" s="91"/>
      <c r="L58" s="91"/>
      <c r="M58" s="91"/>
      <c r="N58" s="91"/>
      <c r="O58" s="91"/>
      <c r="P58" s="91"/>
      <c r="Q58" s="91"/>
      <c r="R58" s="91"/>
      <c r="S58" s="91"/>
      <c r="T58" s="91"/>
    </row>
    <row r="59" spans="1:20" ht="12.75">
      <c r="A59" s="91"/>
      <c r="B59" s="87">
        <v>24</v>
      </c>
      <c r="C59" s="88">
        <f t="shared" si="3"/>
        <v>65156.381547637575</v>
      </c>
      <c r="D59" s="88">
        <f t="shared" si="1"/>
        <v>1933.2801529427916</v>
      </c>
      <c r="E59" s="88">
        <f t="shared" si="2"/>
        <v>325.7819077381879</v>
      </c>
      <c r="F59" s="88">
        <f t="shared" si="4"/>
        <v>1607.4982452046038</v>
      </c>
      <c r="G59" s="88">
        <f t="shared" si="5"/>
        <v>63548.88330243297</v>
      </c>
      <c r="H59" s="92"/>
      <c r="I59" s="91"/>
      <c r="J59" s="91"/>
      <c r="K59" s="91"/>
      <c r="L59" s="91"/>
      <c r="M59" s="91"/>
      <c r="N59" s="91"/>
      <c r="O59" s="91"/>
      <c r="P59" s="91"/>
      <c r="Q59" s="91"/>
      <c r="R59" s="91"/>
      <c r="S59" s="91"/>
      <c r="T59" s="91"/>
    </row>
    <row r="60" spans="1:20" ht="12.75">
      <c r="A60" s="91"/>
      <c r="B60" s="87">
        <v>25</v>
      </c>
      <c r="C60" s="88">
        <f t="shared" si="3"/>
        <v>63548.88330243297</v>
      </c>
      <c r="D60" s="88">
        <f t="shared" si="1"/>
        <v>1933.2801529427916</v>
      </c>
      <c r="E60" s="88">
        <f t="shared" si="2"/>
        <v>317.7444165121649</v>
      </c>
      <c r="F60" s="88">
        <f t="shared" si="4"/>
        <v>1615.5357364306267</v>
      </c>
      <c r="G60" s="88">
        <f t="shared" si="5"/>
        <v>61933.34756600235</v>
      </c>
      <c r="H60" s="92"/>
      <c r="I60" s="91"/>
      <c r="J60" s="91"/>
      <c r="K60" s="91"/>
      <c r="L60" s="91"/>
      <c r="M60" s="91"/>
      <c r="N60" s="91"/>
      <c r="O60" s="91"/>
      <c r="P60" s="91"/>
      <c r="Q60" s="91"/>
      <c r="R60" s="91"/>
      <c r="S60" s="91"/>
      <c r="T60" s="91"/>
    </row>
    <row r="61" spans="1:20" ht="12.75">
      <c r="A61" s="91"/>
      <c r="B61" s="87">
        <v>26</v>
      </c>
      <c r="C61" s="88">
        <f t="shared" si="3"/>
        <v>61933.34756600235</v>
      </c>
      <c r="D61" s="88">
        <f t="shared" si="1"/>
        <v>1933.2801529427916</v>
      </c>
      <c r="E61" s="88">
        <f t="shared" si="2"/>
        <v>309.66673783001175</v>
      </c>
      <c r="F61" s="88">
        <f t="shared" si="4"/>
        <v>1623.6134151127799</v>
      </c>
      <c r="G61" s="88">
        <f t="shared" si="5"/>
        <v>60309.73415088957</v>
      </c>
      <c r="H61" s="92"/>
      <c r="I61" s="91"/>
      <c r="J61" s="91"/>
      <c r="K61" s="91"/>
      <c r="L61" s="91"/>
      <c r="M61" s="91"/>
      <c r="N61" s="91"/>
      <c r="O61" s="91"/>
      <c r="P61" s="91"/>
      <c r="Q61" s="91"/>
      <c r="R61" s="91"/>
      <c r="S61" s="91"/>
      <c r="T61" s="91"/>
    </row>
    <row r="62" spans="1:20" ht="12.75">
      <c r="A62" s="91"/>
      <c r="B62" s="87">
        <v>27</v>
      </c>
      <c r="C62" s="88">
        <f t="shared" si="3"/>
        <v>60309.73415088957</v>
      </c>
      <c r="D62" s="88">
        <f t="shared" si="1"/>
        <v>1933.2801529427916</v>
      </c>
      <c r="E62" s="88">
        <f t="shared" si="2"/>
        <v>301.54867075444787</v>
      </c>
      <c r="F62" s="88">
        <f t="shared" si="4"/>
        <v>1631.7314821883438</v>
      </c>
      <c r="G62" s="88">
        <f t="shared" si="5"/>
        <v>58678.00266870123</v>
      </c>
      <c r="H62" s="92"/>
      <c r="I62" s="91"/>
      <c r="J62" s="91"/>
      <c r="K62" s="91"/>
      <c r="L62" s="91"/>
      <c r="M62" s="91"/>
      <c r="N62" s="91"/>
      <c r="O62" s="91"/>
      <c r="P62" s="91"/>
      <c r="Q62" s="91"/>
      <c r="R62" s="91"/>
      <c r="S62" s="91"/>
      <c r="T62" s="91"/>
    </row>
    <row r="63" spans="1:20" ht="12.75">
      <c r="A63" s="91"/>
      <c r="B63" s="87">
        <v>28</v>
      </c>
      <c r="C63" s="88">
        <f t="shared" si="3"/>
        <v>58678.00266870123</v>
      </c>
      <c r="D63" s="88">
        <f t="shared" si="1"/>
        <v>1933.2801529427916</v>
      </c>
      <c r="E63" s="88">
        <f t="shared" si="2"/>
        <v>293.39001334350615</v>
      </c>
      <c r="F63" s="88">
        <f t="shared" si="4"/>
        <v>1639.8901395992855</v>
      </c>
      <c r="G63" s="88">
        <f t="shared" si="5"/>
        <v>57038.11252910194</v>
      </c>
      <c r="H63" s="92"/>
      <c r="I63" s="91"/>
      <c r="J63" s="91"/>
      <c r="K63" s="91"/>
      <c r="L63" s="91"/>
      <c r="M63" s="91"/>
      <c r="N63" s="91"/>
      <c r="O63" s="91"/>
      <c r="P63" s="91"/>
      <c r="Q63" s="91"/>
      <c r="R63" s="91"/>
      <c r="S63" s="91"/>
      <c r="T63" s="91"/>
    </row>
    <row r="64" spans="1:20" ht="12.75">
      <c r="A64" s="91"/>
      <c r="B64" s="87">
        <v>29</v>
      </c>
      <c r="C64" s="88">
        <f t="shared" si="3"/>
        <v>57038.11252910194</v>
      </c>
      <c r="D64" s="88">
        <f t="shared" si="1"/>
        <v>1933.2801529427916</v>
      </c>
      <c r="E64" s="88">
        <f t="shared" si="2"/>
        <v>285.1905626455097</v>
      </c>
      <c r="F64" s="88">
        <f t="shared" si="4"/>
        <v>1648.0895902972818</v>
      </c>
      <c r="G64" s="88">
        <f t="shared" si="5"/>
        <v>55390.02293880466</v>
      </c>
      <c r="H64" s="92"/>
      <c r="I64" s="91"/>
      <c r="J64" s="91"/>
      <c r="K64" s="91"/>
      <c r="L64" s="91"/>
      <c r="M64" s="91"/>
      <c r="N64" s="91"/>
      <c r="O64" s="91"/>
      <c r="P64" s="91"/>
      <c r="Q64" s="91"/>
      <c r="R64" s="91"/>
      <c r="S64" s="91"/>
      <c r="T64" s="91"/>
    </row>
    <row r="65" spans="1:20" ht="12.75">
      <c r="A65" s="91"/>
      <c r="B65" s="87">
        <v>30</v>
      </c>
      <c r="C65" s="88">
        <f t="shared" si="3"/>
        <v>55390.02293880466</v>
      </c>
      <c r="D65" s="88">
        <f t="shared" si="1"/>
        <v>1933.2801529427916</v>
      </c>
      <c r="E65" s="88">
        <f t="shared" si="2"/>
        <v>276.9501146940233</v>
      </c>
      <c r="F65" s="88">
        <f t="shared" si="4"/>
        <v>1656.3300382487682</v>
      </c>
      <c r="G65" s="88">
        <f t="shared" si="5"/>
        <v>53733.69290055589</v>
      </c>
      <c r="H65" s="92"/>
      <c r="I65" s="91"/>
      <c r="J65" s="91"/>
      <c r="K65" s="91"/>
      <c r="L65" s="91"/>
      <c r="M65" s="91"/>
      <c r="N65" s="91"/>
      <c r="O65" s="91"/>
      <c r="P65" s="91"/>
      <c r="Q65" s="91"/>
      <c r="R65" s="91"/>
      <c r="S65" s="91"/>
      <c r="T65" s="91"/>
    </row>
    <row r="66" spans="1:20" ht="12.75">
      <c r="A66" s="91"/>
      <c r="B66" s="87">
        <v>31</v>
      </c>
      <c r="C66" s="88">
        <f>G65</f>
        <v>53733.69290055589</v>
      </c>
      <c r="D66" s="88">
        <f t="shared" si="1"/>
        <v>1933.2801529427916</v>
      </c>
      <c r="E66" s="88">
        <f t="shared" si="2"/>
        <v>268.66846450277944</v>
      </c>
      <c r="F66" s="88">
        <f>D66-E66</f>
        <v>1664.6116884400121</v>
      </c>
      <c r="G66" s="88">
        <f>C66-F66</f>
        <v>52069.08121211588</v>
      </c>
      <c r="H66" s="92"/>
      <c r="I66" s="91"/>
      <c r="J66" s="91"/>
      <c r="K66" s="91"/>
      <c r="L66" s="91"/>
      <c r="M66" s="91"/>
      <c r="N66" s="91"/>
      <c r="O66" s="91"/>
      <c r="P66" s="91"/>
      <c r="Q66" s="91"/>
      <c r="R66" s="91"/>
      <c r="S66" s="91"/>
      <c r="T66" s="91"/>
    </row>
    <row r="67" spans="1:20" ht="12.75">
      <c r="A67" s="91"/>
      <c r="B67" s="87">
        <v>32</v>
      </c>
      <c r="C67" s="88">
        <f>G66</f>
        <v>52069.08121211588</v>
      </c>
      <c r="D67" s="88">
        <f t="shared" si="1"/>
        <v>1933.2801529427916</v>
      </c>
      <c r="E67" s="88">
        <f t="shared" si="2"/>
        <v>260.3454060605794</v>
      </c>
      <c r="F67" s="88">
        <f>D67-E67</f>
        <v>1672.934746882212</v>
      </c>
      <c r="G67" s="88">
        <f>C67-F67</f>
        <v>50396.14646523367</v>
      </c>
      <c r="H67" s="92"/>
      <c r="I67" s="91"/>
      <c r="J67" s="91"/>
      <c r="K67" s="91"/>
      <c r="L67" s="91"/>
      <c r="M67" s="91"/>
      <c r="N67" s="91"/>
      <c r="O67" s="91"/>
      <c r="P67" s="91"/>
      <c r="Q67" s="91"/>
      <c r="R67" s="91"/>
      <c r="S67" s="91"/>
      <c r="T67" s="91"/>
    </row>
    <row r="68" spans="1:20" ht="12.75">
      <c r="A68" s="91"/>
      <c r="B68" s="87">
        <v>33</v>
      </c>
      <c r="C68" s="88">
        <f>G67</f>
        <v>50396.14646523367</v>
      </c>
      <c r="D68" s="88">
        <f aca="true" t="shared" si="6" ref="D68:D95">C$33</f>
        <v>1933.2801529427916</v>
      </c>
      <c r="E68" s="88">
        <f aca="true" t="shared" si="7" ref="E68:E95">C68*C$30</f>
        <v>251.98073232616838</v>
      </c>
      <c r="F68" s="88">
        <f>D68-E68</f>
        <v>1681.2994206166231</v>
      </c>
      <c r="G68" s="88">
        <f>C68-F68</f>
        <v>48714.84704461705</v>
      </c>
      <c r="H68" s="92"/>
      <c r="I68" s="91"/>
      <c r="J68" s="91"/>
      <c r="K68" s="91"/>
      <c r="L68" s="91"/>
      <c r="M68" s="91"/>
      <c r="N68" s="91"/>
      <c r="O68" s="91"/>
      <c r="P68" s="91"/>
      <c r="Q68" s="91"/>
      <c r="R68" s="91"/>
      <c r="S68" s="91"/>
      <c r="T68" s="91"/>
    </row>
    <row r="69" spans="1:20" ht="12.75">
      <c r="A69" s="91"/>
      <c r="B69" s="87">
        <v>34</v>
      </c>
      <c r="C69" s="88">
        <f aca="true" t="shared" si="8" ref="C69:C95">G68</f>
        <v>48714.84704461705</v>
      </c>
      <c r="D69" s="88">
        <f t="shared" si="6"/>
        <v>1933.2801529427916</v>
      </c>
      <c r="E69" s="88">
        <f t="shared" si="7"/>
        <v>243.57423522308522</v>
      </c>
      <c r="F69" s="88">
        <f aca="true" t="shared" si="9" ref="F69:F95">D69-E69</f>
        <v>1689.7059177197063</v>
      </c>
      <c r="G69" s="88">
        <f aca="true" t="shared" si="10" ref="G69:G95">C69-F69</f>
        <v>47025.14112689734</v>
      </c>
      <c r="H69" s="92"/>
      <c r="I69" s="91"/>
      <c r="J69" s="91"/>
      <c r="K69" s="91"/>
      <c r="L69" s="91"/>
      <c r="M69" s="91"/>
      <c r="N69" s="91"/>
      <c r="O69" s="91"/>
      <c r="P69" s="91"/>
      <c r="Q69" s="91"/>
      <c r="R69" s="91"/>
      <c r="S69" s="91"/>
      <c r="T69" s="91"/>
    </row>
    <row r="70" spans="1:20" ht="12.75">
      <c r="A70" s="91"/>
      <c r="B70" s="87">
        <v>35</v>
      </c>
      <c r="C70" s="88">
        <f t="shared" si="8"/>
        <v>47025.14112689734</v>
      </c>
      <c r="D70" s="88">
        <f t="shared" si="6"/>
        <v>1933.2801529427916</v>
      </c>
      <c r="E70" s="88">
        <f t="shared" si="7"/>
        <v>235.1257056344867</v>
      </c>
      <c r="F70" s="88">
        <f t="shared" si="9"/>
        <v>1698.154447308305</v>
      </c>
      <c r="G70" s="88">
        <f t="shared" si="10"/>
        <v>45326.986679589034</v>
      </c>
      <c r="H70" s="92"/>
      <c r="I70" s="91"/>
      <c r="J70" s="91"/>
      <c r="K70" s="91"/>
      <c r="L70" s="91"/>
      <c r="M70" s="91"/>
      <c r="N70" s="91"/>
      <c r="O70" s="91"/>
      <c r="P70" s="91"/>
      <c r="Q70" s="91"/>
      <c r="R70" s="91"/>
      <c r="S70" s="91"/>
      <c r="T70" s="91"/>
    </row>
    <row r="71" spans="1:20" ht="12.75">
      <c r="A71" s="91"/>
      <c r="B71" s="87">
        <v>36</v>
      </c>
      <c r="C71" s="88">
        <f t="shared" si="8"/>
        <v>45326.986679589034</v>
      </c>
      <c r="D71" s="88">
        <f t="shared" si="6"/>
        <v>1933.2801529427916</v>
      </c>
      <c r="E71" s="88">
        <f t="shared" si="7"/>
        <v>226.63493339794516</v>
      </c>
      <c r="F71" s="88">
        <f t="shared" si="9"/>
        <v>1706.6452195448464</v>
      </c>
      <c r="G71" s="88">
        <f t="shared" si="10"/>
        <v>43620.34146004419</v>
      </c>
      <c r="H71" s="92"/>
      <c r="I71" s="91"/>
      <c r="J71" s="91"/>
      <c r="K71" s="91"/>
      <c r="L71" s="91"/>
      <c r="M71" s="91"/>
      <c r="N71" s="91"/>
      <c r="O71" s="91"/>
      <c r="P71" s="91"/>
      <c r="Q71" s="91"/>
      <c r="R71" s="91"/>
      <c r="S71" s="91"/>
      <c r="T71" s="91"/>
    </row>
    <row r="72" spans="1:20" ht="12.75">
      <c r="A72" s="91"/>
      <c r="B72" s="87">
        <v>37</v>
      </c>
      <c r="C72" s="88">
        <f t="shared" si="8"/>
        <v>43620.34146004419</v>
      </c>
      <c r="D72" s="88">
        <f t="shared" si="6"/>
        <v>1933.2801529427916</v>
      </c>
      <c r="E72" s="88">
        <f t="shared" si="7"/>
        <v>218.10170730022097</v>
      </c>
      <c r="F72" s="88">
        <f t="shared" si="9"/>
        <v>1715.1784456425705</v>
      </c>
      <c r="G72" s="88">
        <f t="shared" si="10"/>
        <v>41905.163014401616</v>
      </c>
      <c r="H72" s="92"/>
      <c r="I72" s="91"/>
      <c r="J72" s="91"/>
      <c r="K72" s="91"/>
      <c r="L72" s="91"/>
      <c r="M72" s="91"/>
      <c r="N72" s="91"/>
      <c r="O72" s="91"/>
      <c r="P72" s="91"/>
      <c r="Q72" s="91"/>
      <c r="R72" s="91"/>
      <c r="S72" s="91"/>
      <c r="T72" s="91"/>
    </row>
    <row r="73" spans="1:20" ht="12.75">
      <c r="A73" s="91"/>
      <c r="B73" s="87">
        <v>38</v>
      </c>
      <c r="C73" s="88">
        <f t="shared" si="8"/>
        <v>41905.163014401616</v>
      </c>
      <c r="D73" s="88">
        <f t="shared" si="6"/>
        <v>1933.2801529427916</v>
      </c>
      <c r="E73" s="88">
        <f t="shared" si="7"/>
        <v>209.52581507200807</v>
      </c>
      <c r="F73" s="88">
        <f t="shared" si="9"/>
        <v>1723.7543378707835</v>
      </c>
      <c r="G73" s="88">
        <f t="shared" si="10"/>
        <v>40181.40867653083</v>
      </c>
      <c r="H73" s="92"/>
      <c r="I73" s="91"/>
      <c r="J73" s="91"/>
      <c r="K73" s="91"/>
      <c r="L73" s="91"/>
      <c r="M73" s="91"/>
      <c r="N73" s="91"/>
      <c r="O73" s="91"/>
      <c r="P73" s="91"/>
      <c r="Q73" s="91"/>
      <c r="R73" s="91"/>
      <c r="S73" s="91"/>
      <c r="T73" s="91"/>
    </row>
    <row r="74" spans="1:20" ht="12.75">
      <c r="A74" s="91"/>
      <c r="B74" s="87">
        <v>39</v>
      </c>
      <c r="C74" s="88">
        <f t="shared" si="8"/>
        <v>40181.40867653083</v>
      </c>
      <c r="D74" s="88">
        <f t="shared" si="6"/>
        <v>1933.2801529427916</v>
      </c>
      <c r="E74" s="88">
        <f t="shared" si="7"/>
        <v>200.90704338265417</v>
      </c>
      <c r="F74" s="88">
        <f t="shared" si="9"/>
        <v>1732.3731095601374</v>
      </c>
      <c r="G74" s="88">
        <f t="shared" si="10"/>
        <v>38449.03556697069</v>
      </c>
      <c r="H74" s="92"/>
      <c r="I74" s="91"/>
      <c r="J74" s="91"/>
      <c r="K74" s="91"/>
      <c r="L74" s="91"/>
      <c r="M74" s="91"/>
      <c r="N74" s="91"/>
      <c r="O74" s="91"/>
      <c r="P74" s="91"/>
      <c r="Q74" s="91"/>
      <c r="R74" s="91"/>
      <c r="S74" s="91"/>
      <c r="T74" s="91"/>
    </row>
    <row r="75" spans="1:20" ht="12.75">
      <c r="A75" s="91"/>
      <c r="B75" s="87">
        <v>40</v>
      </c>
      <c r="C75" s="88">
        <f t="shared" si="8"/>
        <v>38449.03556697069</v>
      </c>
      <c r="D75" s="88">
        <f t="shared" si="6"/>
        <v>1933.2801529427916</v>
      </c>
      <c r="E75" s="88">
        <f t="shared" si="7"/>
        <v>192.24517783485345</v>
      </c>
      <c r="F75" s="88">
        <f t="shared" si="9"/>
        <v>1741.0349751079382</v>
      </c>
      <c r="G75" s="88">
        <f t="shared" si="10"/>
        <v>36708.00059186275</v>
      </c>
      <c r="H75" s="92"/>
      <c r="I75" s="91"/>
      <c r="J75" s="91"/>
      <c r="K75" s="91"/>
      <c r="L75" s="91"/>
      <c r="M75" s="91"/>
      <c r="N75" s="91"/>
      <c r="O75" s="91"/>
      <c r="P75" s="91"/>
      <c r="Q75" s="91"/>
      <c r="R75" s="91"/>
      <c r="S75" s="91"/>
      <c r="T75" s="91"/>
    </row>
    <row r="76" spans="1:20" ht="12.75">
      <c r="A76" s="91"/>
      <c r="B76" s="87">
        <v>41</v>
      </c>
      <c r="C76" s="88">
        <f t="shared" si="8"/>
        <v>36708.00059186275</v>
      </c>
      <c r="D76" s="88">
        <f t="shared" si="6"/>
        <v>1933.2801529427916</v>
      </c>
      <c r="E76" s="88">
        <f t="shared" si="7"/>
        <v>183.54000295931377</v>
      </c>
      <c r="F76" s="88">
        <f t="shared" si="9"/>
        <v>1749.7401499834777</v>
      </c>
      <c r="G76" s="88">
        <f t="shared" si="10"/>
        <v>34958.260441879276</v>
      </c>
      <c r="H76" s="92"/>
      <c r="I76" s="91"/>
      <c r="J76" s="91"/>
      <c r="K76" s="91"/>
      <c r="L76" s="91"/>
      <c r="M76" s="91"/>
      <c r="N76" s="91"/>
      <c r="O76" s="91"/>
      <c r="P76" s="91"/>
      <c r="Q76" s="91"/>
      <c r="R76" s="91"/>
      <c r="S76" s="91"/>
      <c r="T76" s="91"/>
    </row>
    <row r="77" spans="1:20" ht="12.75">
      <c r="A77" s="91"/>
      <c r="B77" s="87">
        <v>42</v>
      </c>
      <c r="C77" s="88">
        <f t="shared" si="8"/>
        <v>34958.260441879276</v>
      </c>
      <c r="D77" s="88">
        <f t="shared" si="6"/>
        <v>1933.2801529427916</v>
      </c>
      <c r="E77" s="88">
        <f t="shared" si="7"/>
        <v>174.79130220939638</v>
      </c>
      <c r="F77" s="88">
        <f t="shared" si="9"/>
        <v>1758.488850733395</v>
      </c>
      <c r="G77" s="88">
        <f t="shared" si="10"/>
        <v>33199.77159114588</v>
      </c>
      <c r="H77" s="92"/>
      <c r="I77" s="91"/>
      <c r="J77" s="91"/>
      <c r="K77" s="91"/>
      <c r="L77" s="91"/>
      <c r="M77" s="91"/>
      <c r="N77" s="91"/>
      <c r="O77" s="91"/>
      <c r="P77" s="91"/>
      <c r="Q77" s="91"/>
      <c r="R77" s="91"/>
      <c r="S77" s="91"/>
      <c r="T77" s="91"/>
    </row>
    <row r="78" spans="1:20" ht="12.75">
      <c r="A78" s="91"/>
      <c r="B78" s="87">
        <v>43</v>
      </c>
      <c r="C78" s="88">
        <f t="shared" si="8"/>
        <v>33199.77159114588</v>
      </c>
      <c r="D78" s="88">
        <f t="shared" si="6"/>
        <v>1933.2801529427916</v>
      </c>
      <c r="E78" s="88">
        <f t="shared" si="7"/>
        <v>165.9988579557294</v>
      </c>
      <c r="F78" s="88">
        <f t="shared" si="9"/>
        <v>1767.2812949870622</v>
      </c>
      <c r="G78" s="88">
        <f t="shared" si="10"/>
        <v>31432.490296158816</v>
      </c>
      <c r="H78" s="92"/>
      <c r="I78" s="91"/>
      <c r="J78" s="91"/>
      <c r="K78" s="91"/>
      <c r="L78" s="91"/>
      <c r="M78" s="91"/>
      <c r="N78" s="91"/>
      <c r="O78" s="91"/>
      <c r="P78" s="91"/>
      <c r="Q78" s="91"/>
      <c r="R78" s="91"/>
      <c r="S78" s="91"/>
      <c r="T78" s="91"/>
    </row>
    <row r="79" spans="1:20" ht="12.75">
      <c r="A79" s="91"/>
      <c r="B79" s="87">
        <v>44</v>
      </c>
      <c r="C79" s="88">
        <f t="shared" si="8"/>
        <v>31432.490296158816</v>
      </c>
      <c r="D79" s="88">
        <f t="shared" si="6"/>
        <v>1933.2801529427916</v>
      </c>
      <c r="E79" s="88">
        <f t="shared" si="7"/>
        <v>157.1624514807941</v>
      </c>
      <c r="F79" s="88">
        <f t="shared" si="9"/>
        <v>1776.1177014619975</v>
      </c>
      <c r="G79" s="88">
        <f t="shared" si="10"/>
        <v>29656.37259469682</v>
      </c>
      <c r="H79" s="92"/>
      <c r="I79" s="91"/>
      <c r="J79" s="91"/>
      <c r="K79" s="91"/>
      <c r="L79" s="91"/>
      <c r="M79" s="91"/>
      <c r="N79" s="91"/>
      <c r="O79" s="91"/>
      <c r="P79" s="91"/>
      <c r="Q79" s="91"/>
      <c r="R79" s="91"/>
      <c r="S79" s="91"/>
      <c r="T79" s="91"/>
    </row>
    <row r="80" spans="1:20" ht="12.75">
      <c r="A80" s="91"/>
      <c r="B80" s="87">
        <v>45</v>
      </c>
      <c r="C80" s="88">
        <f t="shared" si="8"/>
        <v>29656.37259469682</v>
      </c>
      <c r="D80" s="88">
        <f t="shared" si="6"/>
        <v>1933.2801529427916</v>
      </c>
      <c r="E80" s="88">
        <f t="shared" si="7"/>
        <v>148.2818629734841</v>
      </c>
      <c r="F80" s="88">
        <f t="shared" si="9"/>
        <v>1784.9982899693075</v>
      </c>
      <c r="G80" s="88">
        <f t="shared" si="10"/>
        <v>27871.374304727513</v>
      </c>
      <c r="H80" s="92"/>
      <c r="I80" s="91"/>
      <c r="J80" s="91"/>
      <c r="K80" s="91"/>
      <c r="L80" s="91"/>
      <c r="M80" s="91"/>
      <c r="N80" s="91"/>
      <c r="O80" s="91"/>
      <c r="P80" s="91"/>
      <c r="Q80" s="91"/>
      <c r="R80" s="91"/>
      <c r="S80" s="91"/>
      <c r="T80" s="91"/>
    </row>
    <row r="81" spans="1:20" ht="12.75">
      <c r="A81" s="91"/>
      <c r="B81" s="87">
        <v>46</v>
      </c>
      <c r="C81" s="88">
        <f t="shared" si="8"/>
        <v>27871.374304727513</v>
      </c>
      <c r="D81" s="88">
        <f t="shared" si="6"/>
        <v>1933.2801529427916</v>
      </c>
      <c r="E81" s="88">
        <f t="shared" si="7"/>
        <v>139.35687152363758</v>
      </c>
      <c r="F81" s="88">
        <f t="shared" si="9"/>
        <v>1793.923281419154</v>
      </c>
      <c r="G81" s="88">
        <f t="shared" si="10"/>
        <v>26077.45102330836</v>
      </c>
      <c r="H81" s="92"/>
      <c r="I81" s="91"/>
      <c r="J81" s="91"/>
      <c r="K81" s="91"/>
      <c r="L81" s="91"/>
      <c r="M81" s="91"/>
      <c r="N81" s="91"/>
      <c r="O81" s="91"/>
      <c r="P81" s="91"/>
      <c r="Q81" s="91"/>
      <c r="R81" s="91"/>
      <c r="S81" s="91"/>
      <c r="T81" s="91"/>
    </row>
    <row r="82" spans="1:20" ht="12.75">
      <c r="A82" s="91"/>
      <c r="B82" s="87">
        <v>47</v>
      </c>
      <c r="C82" s="88">
        <f t="shared" si="8"/>
        <v>26077.45102330836</v>
      </c>
      <c r="D82" s="88">
        <f t="shared" si="6"/>
        <v>1933.2801529427916</v>
      </c>
      <c r="E82" s="88">
        <f t="shared" si="7"/>
        <v>130.3872551165418</v>
      </c>
      <c r="F82" s="88">
        <f t="shared" si="9"/>
        <v>1802.8928978262497</v>
      </c>
      <c r="G82" s="88">
        <f t="shared" si="10"/>
        <v>24274.55812548211</v>
      </c>
      <c r="H82" s="92"/>
      <c r="I82" s="91"/>
      <c r="J82" s="91"/>
      <c r="K82" s="91"/>
      <c r="L82" s="91"/>
      <c r="M82" s="91"/>
      <c r="N82" s="91"/>
      <c r="O82" s="91"/>
      <c r="P82" s="91"/>
      <c r="Q82" s="91"/>
      <c r="R82" s="91"/>
      <c r="S82" s="91"/>
      <c r="T82" s="91"/>
    </row>
    <row r="83" spans="1:20" ht="12.75">
      <c r="A83" s="91"/>
      <c r="B83" s="87">
        <v>48</v>
      </c>
      <c r="C83" s="88">
        <f t="shared" si="8"/>
        <v>24274.55812548211</v>
      </c>
      <c r="D83" s="88">
        <f t="shared" si="6"/>
        <v>1933.2801529427916</v>
      </c>
      <c r="E83" s="88">
        <f t="shared" si="7"/>
        <v>121.37279062741057</v>
      </c>
      <c r="F83" s="88">
        <f t="shared" si="9"/>
        <v>1811.907362315381</v>
      </c>
      <c r="G83" s="88">
        <f t="shared" si="10"/>
        <v>22462.65076316673</v>
      </c>
      <c r="H83" s="92"/>
      <c r="I83" s="91"/>
      <c r="J83" s="91"/>
      <c r="K83" s="91"/>
      <c r="L83" s="91"/>
      <c r="M83" s="91"/>
      <c r="N83" s="91"/>
      <c r="O83" s="91"/>
      <c r="P83" s="91"/>
      <c r="Q83" s="91"/>
      <c r="R83" s="91"/>
      <c r="S83" s="91"/>
      <c r="T83" s="91"/>
    </row>
    <row r="84" spans="1:20" ht="12.75">
      <c r="A84" s="91"/>
      <c r="B84" s="87">
        <v>49</v>
      </c>
      <c r="C84" s="88">
        <f t="shared" si="8"/>
        <v>22462.65076316673</v>
      </c>
      <c r="D84" s="88">
        <f t="shared" si="6"/>
        <v>1933.2801529427916</v>
      </c>
      <c r="E84" s="88">
        <f t="shared" si="7"/>
        <v>112.31325381583365</v>
      </c>
      <c r="F84" s="88">
        <f t="shared" si="9"/>
        <v>1820.966899126958</v>
      </c>
      <c r="G84" s="88">
        <f t="shared" si="10"/>
        <v>20641.683864039773</v>
      </c>
      <c r="H84" s="92"/>
      <c r="I84" s="91"/>
      <c r="J84" s="91"/>
      <c r="K84" s="91"/>
      <c r="L84" s="91"/>
      <c r="M84" s="91"/>
      <c r="N84" s="91"/>
      <c r="O84" s="91"/>
      <c r="P84" s="91"/>
      <c r="Q84" s="91"/>
      <c r="R84" s="91"/>
      <c r="S84" s="91"/>
      <c r="T84" s="91"/>
    </row>
    <row r="85" spans="1:20" ht="12.75">
      <c r="A85" s="91"/>
      <c r="B85" s="87">
        <v>50</v>
      </c>
      <c r="C85" s="88">
        <f t="shared" si="8"/>
        <v>20641.683864039773</v>
      </c>
      <c r="D85" s="88">
        <f t="shared" si="6"/>
        <v>1933.2801529427916</v>
      </c>
      <c r="E85" s="88">
        <f t="shared" si="7"/>
        <v>103.20841932019887</v>
      </c>
      <c r="F85" s="88">
        <f t="shared" si="9"/>
        <v>1830.0717336225928</v>
      </c>
      <c r="G85" s="88">
        <f t="shared" si="10"/>
        <v>18811.61213041718</v>
      </c>
      <c r="H85" s="92"/>
      <c r="I85" s="91"/>
      <c r="J85" s="91"/>
      <c r="K85" s="91"/>
      <c r="L85" s="91"/>
      <c r="M85" s="91"/>
      <c r="N85" s="91"/>
      <c r="O85" s="91"/>
      <c r="P85" s="91"/>
      <c r="Q85" s="91"/>
      <c r="R85" s="91"/>
      <c r="S85" s="91"/>
      <c r="T85" s="91"/>
    </row>
    <row r="86" spans="1:20" ht="12.75">
      <c r="A86" s="91"/>
      <c r="B86" s="87">
        <v>51</v>
      </c>
      <c r="C86" s="88">
        <f t="shared" si="8"/>
        <v>18811.61213041718</v>
      </c>
      <c r="D86" s="88">
        <f t="shared" si="6"/>
        <v>1933.2801529427916</v>
      </c>
      <c r="E86" s="88">
        <f t="shared" si="7"/>
        <v>94.0580606520859</v>
      </c>
      <c r="F86" s="88">
        <f t="shared" si="9"/>
        <v>1839.2220922907056</v>
      </c>
      <c r="G86" s="88">
        <f t="shared" si="10"/>
        <v>16972.390038126472</v>
      </c>
      <c r="H86" s="92"/>
      <c r="I86" s="91"/>
      <c r="J86" s="91"/>
      <c r="K86" s="91"/>
      <c r="L86" s="91"/>
      <c r="M86" s="91"/>
      <c r="N86" s="91"/>
      <c r="O86" s="91"/>
      <c r="P86" s="91"/>
      <c r="Q86" s="91"/>
      <c r="R86" s="91"/>
      <c r="S86" s="91"/>
      <c r="T86" s="91"/>
    </row>
    <row r="87" spans="1:20" ht="12.75">
      <c r="A87" s="91"/>
      <c r="B87" s="87">
        <v>52</v>
      </c>
      <c r="C87" s="88">
        <f t="shared" si="8"/>
        <v>16972.390038126472</v>
      </c>
      <c r="D87" s="88">
        <f t="shared" si="6"/>
        <v>1933.2801529427916</v>
      </c>
      <c r="E87" s="88">
        <f t="shared" si="7"/>
        <v>84.86195019063236</v>
      </c>
      <c r="F87" s="88">
        <f t="shared" si="9"/>
        <v>1848.4182027521592</v>
      </c>
      <c r="G87" s="88">
        <f t="shared" si="10"/>
        <v>15123.971835374312</v>
      </c>
      <c r="H87" s="92"/>
      <c r="I87" s="91"/>
      <c r="J87" s="91"/>
      <c r="K87" s="91"/>
      <c r="L87" s="91"/>
      <c r="M87" s="91"/>
      <c r="N87" s="91"/>
      <c r="O87" s="91"/>
      <c r="P87" s="91"/>
      <c r="Q87" s="91"/>
      <c r="R87" s="91"/>
      <c r="S87" s="91"/>
      <c r="T87" s="91"/>
    </row>
    <row r="88" spans="1:20" ht="12.75">
      <c r="A88" s="91"/>
      <c r="B88" s="87">
        <v>53</v>
      </c>
      <c r="C88" s="88">
        <f t="shared" si="8"/>
        <v>15123.971835374312</v>
      </c>
      <c r="D88" s="88">
        <f t="shared" si="6"/>
        <v>1933.2801529427916</v>
      </c>
      <c r="E88" s="88">
        <f t="shared" si="7"/>
        <v>75.61985917687156</v>
      </c>
      <c r="F88" s="88">
        <f t="shared" si="9"/>
        <v>1857.66029376592</v>
      </c>
      <c r="G88" s="88">
        <f t="shared" si="10"/>
        <v>13266.311541608393</v>
      </c>
      <c r="H88" s="92"/>
      <c r="I88" s="91"/>
      <c r="J88" s="91"/>
      <c r="K88" s="91"/>
      <c r="L88" s="91"/>
      <c r="M88" s="91"/>
      <c r="N88" s="91"/>
      <c r="O88" s="91"/>
      <c r="P88" s="91"/>
      <c r="Q88" s="91"/>
      <c r="R88" s="91"/>
      <c r="S88" s="91"/>
      <c r="T88" s="91"/>
    </row>
    <row r="89" spans="1:20" ht="12.75">
      <c r="A89" s="91"/>
      <c r="B89" s="87">
        <v>54</v>
      </c>
      <c r="C89" s="88">
        <f t="shared" si="8"/>
        <v>13266.311541608393</v>
      </c>
      <c r="D89" s="88">
        <f t="shared" si="6"/>
        <v>1933.2801529427916</v>
      </c>
      <c r="E89" s="88">
        <f t="shared" si="7"/>
        <v>66.33155770804197</v>
      </c>
      <c r="F89" s="88">
        <f t="shared" si="9"/>
        <v>1866.9485952347495</v>
      </c>
      <c r="G89" s="88">
        <f t="shared" si="10"/>
        <v>11399.362946373643</v>
      </c>
      <c r="H89" s="92"/>
      <c r="I89" s="91"/>
      <c r="J89" s="91"/>
      <c r="K89" s="91"/>
      <c r="L89" s="91"/>
      <c r="M89" s="91"/>
      <c r="N89" s="91"/>
      <c r="O89" s="91"/>
      <c r="P89" s="91"/>
      <c r="Q89" s="91"/>
      <c r="R89" s="91"/>
      <c r="S89" s="91"/>
      <c r="T89" s="91"/>
    </row>
    <row r="90" spans="1:20" ht="12.75">
      <c r="A90" s="91"/>
      <c r="B90" s="87">
        <v>55</v>
      </c>
      <c r="C90" s="88">
        <f t="shared" si="8"/>
        <v>11399.362946373643</v>
      </c>
      <c r="D90" s="88">
        <f t="shared" si="6"/>
        <v>1933.2801529427916</v>
      </c>
      <c r="E90" s="88">
        <f t="shared" si="7"/>
        <v>56.99681473186822</v>
      </c>
      <c r="F90" s="88">
        <f t="shared" si="9"/>
        <v>1876.2833382109234</v>
      </c>
      <c r="G90" s="88">
        <f t="shared" si="10"/>
        <v>9523.07960816272</v>
      </c>
      <c r="H90" s="92"/>
      <c r="I90" s="91"/>
      <c r="J90" s="91"/>
      <c r="K90" s="91"/>
      <c r="L90" s="91"/>
      <c r="M90" s="91"/>
      <c r="N90" s="91"/>
      <c r="O90" s="91"/>
      <c r="P90" s="91"/>
      <c r="Q90" s="91"/>
      <c r="R90" s="91"/>
      <c r="S90" s="91"/>
      <c r="T90" s="91"/>
    </row>
    <row r="91" spans="1:20" ht="12.75">
      <c r="A91" s="91"/>
      <c r="B91" s="87">
        <v>56</v>
      </c>
      <c r="C91" s="88">
        <f t="shared" si="8"/>
        <v>9523.07960816272</v>
      </c>
      <c r="D91" s="88">
        <f t="shared" si="6"/>
        <v>1933.2801529427916</v>
      </c>
      <c r="E91" s="88">
        <f t="shared" si="7"/>
        <v>47.615398040813595</v>
      </c>
      <c r="F91" s="88">
        <f t="shared" si="9"/>
        <v>1885.664754901978</v>
      </c>
      <c r="G91" s="88">
        <f t="shared" si="10"/>
        <v>7637.414853260741</v>
      </c>
      <c r="H91" s="92"/>
      <c r="I91" s="91"/>
      <c r="J91" s="91"/>
      <c r="K91" s="91"/>
      <c r="L91" s="91"/>
      <c r="M91" s="91"/>
      <c r="N91" s="91"/>
      <c r="O91" s="91"/>
      <c r="P91" s="91"/>
      <c r="Q91" s="91"/>
      <c r="R91" s="91"/>
      <c r="S91" s="91"/>
      <c r="T91" s="91"/>
    </row>
    <row r="92" spans="1:20" ht="12.75">
      <c r="A92" s="91"/>
      <c r="B92" s="87">
        <v>57</v>
      </c>
      <c r="C92" s="88">
        <f t="shared" si="8"/>
        <v>7637.414853260741</v>
      </c>
      <c r="D92" s="88">
        <f t="shared" si="6"/>
        <v>1933.2801529427916</v>
      </c>
      <c r="E92" s="88">
        <f t="shared" si="7"/>
        <v>38.18707426630371</v>
      </c>
      <c r="F92" s="88">
        <f t="shared" si="9"/>
        <v>1895.093078676488</v>
      </c>
      <c r="G92" s="88">
        <f t="shared" si="10"/>
        <v>5742.321774584254</v>
      </c>
      <c r="H92" s="92"/>
      <c r="I92" s="91"/>
      <c r="J92" s="91"/>
      <c r="K92" s="91"/>
      <c r="L92" s="91"/>
      <c r="M92" s="91"/>
      <c r="N92" s="91"/>
      <c r="O92" s="91"/>
      <c r="P92" s="91"/>
      <c r="Q92" s="91"/>
      <c r="R92" s="91"/>
      <c r="S92" s="91"/>
      <c r="T92" s="91"/>
    </row>
    <row r="93" spans="1:20" ht="12.75">
      <c r="A93" s="91"/>
      <c r="B93" s="87">
        <v>58</v>
      </c>
      <c r="C93" s="88">
        <f t="shared" si="8"/>
        <v>5742.321774584254</v>
      </c>
      <c r="D93" s="88">
        <f t="shared" si="6"/>
        <v>1933.2801529427916</v>
      </c>
      <c r="E93" s="88">
        <f t="shared" si="7"/>
        <v>28.71160887292127</v>
      </c>
      <c r="F93" s="88">
        <f t="shared" si="9"/>
        <v>1904.5685440698703</v>
      </c>
      <c r="G93" s="88">
        <f t="shared" si="10"/>
        <v>3837.7532305143836</v>
      </c>
      <c r="H93" s="92"/>
      <c r="I93" s="91"/>
      <c r="J93" s="91"/>
      <c r="K93" s="91"/>
      <c r="L93" s="91"/>
      <c r="M93" s="91"/>
      <c r="N93" s="91"/>
      <c r="O93" s="91"/>
      <c r="P93" s="91"/>
      <c r="Q93" s="91"/>
      <c r="R93" s="91"/>
      <c r="S93" s="91"/>
      <c r="T93" s="91"/>
    </row>
    <row r="94" spans="1:20" ht="12.75">
      <c r="A94" s="91"/>
      <c r="B94" s="87">
        <v>59</v>
      </c>
      <c r="C94" s="88">
        <f t="shared" si="8"/>
        <v>3837.7532305143836</v>
      </c>
      <c r="D94" s="88">
        <f t="shared" si="6"/>
        <v>1933.2801529427916</v>
      </c>
      <c r="E94" s="88">
        <f t="shared" si="7"/>
        <v>19.18876615257192</v>
      </c>
      <c r="F94" s="88">
        <f t="shared" si="9"/>
        <v>1914.0913867902198</v>
      </c>
      <c r="G94" s="88">
        <f t="shared" si="10"/>
        <v>1923.6618437241639</v>
      </c>
      <c r="H94" s="92"/>
      <c r="I94" s="91"/>
      <c r="J94" s="91"/>
      <c r="K94" s="91"/>
      <c r="L94" s="91"/>
      <c r="M94" s="91"/>
      <c r="N94" s="91"/>
      <c r="O94" s="91"/>
      <c r="P94" s="91"/>
      <c r="Q94" s="91"/>
      <c r="R94" s="91"/>
      <c r="S94" s="91"/>
      <c r="T94" s="91"/>
    </row>
    <row r="95" spans="1:20" ht="12.75">
      <c r="A95" s="214" t="s">
        <v>208</v>
      </c>
      <c r="B95" s="87">
        <v>60</v>
      </c>
      <c r="C95" s="88">
        <f t="shared" si="8"/>
        <v>1923.6618437241639</v>
      </c>
      <c r="D95" s="88">
        <f t="shared" si="6"/>
        <v>1933.2801529427916</v>
      </c>
      <c r="E95" s="88">
        <f t="shared" si="7"/>
        <v>9.61830921862082</v>
      </c>
      <c r="F95" s="88">
        <f t="shared" si="9"/>
        <v>1923.6618437241707</v>
      </c>
      <c r="G95" s="88">
        <f t="shared" si="10"/>
        <v>-6.821210263296962E-12</v>
      </c>
      <c r="H95" s="92"/>
      <c r="I95" s="91"/>
      <c r="J95" s="91"/>
      <c r="K95" s="91"/>
      <c r="L95" s="91"/>
      <c r="M95" s="91"/>
      <c r="N95" s="91"/>
      <c r="O95" s="91"/>
      <c r="P95" s="91"/>
      <c r="Q95" s="91"/>
      <c r="R95" s="91"/>
      <c r="S95" s="91"/>
      <c r="T95" s="91"/>
    </row>
    <row r="96" spans="1:19" ht="12.75">
      <c r="A96" s="91"/>
      <c r="B96" s="91"/>
      <c r="C96" s="91"/>
      <c r="D96" s="91"/>
      <c r="E96" s="91"/>
      <c r="F96" s="91"/>
      <c r="G96" s="91"/>
      <c r="H96" s="92"/>
      <c r="I96" s="91"/>
      <c r="J96" s="91"/>
      <c r="K96" s="91"/>
      <c r="L96" s="91"/>
      <c r="M96" s="91"/>
      <c r="N96" s="91"/>
      <c r="O96" s="91"/>
      <c r="P96" s="91"/>
      <c r="Q96" s="91"/>
      <c r="R96" s="91"/>
      <c r="S96" s="91"/>
    </row>
    <row r="97" spans="2:7" ht="12.75">
      <c r="B97" s="455"/>
      <c r="C97" s="455"/>
      <c r="D97" s="455"/>
      <c r="E97" s="455"/>
      <c r="F97" s="455"/>
      <c r="G97" s="455"/>
    </row>
    <row r="98" spans="2:7" ht="12.75">
      <c r="B98" s="455"/>
      <c r="C98" s="455"/>
      <c r="D98" s="455"/>
      <c r="E98" s="455"/>
      <c r="F98" s="455"/>
      <c r="G98" s="455"/>
    </row>
    <row r="99" spans="2:7" ht="12.75">
      <c r="B99" s="455"/>
      <c r="C99" s="455"/>
      <c r="D99" s="455"/>
      <c r="E99" s="455"/>
      <c r="F99" s="455"/>
      <c r="G99" s="455"/>
    </row>
    <row r="100" spans="2:7" ht="12.75">
      <c r="B100" s="455"/>
      <c r="C100" s="455"/>
      <c r="D100" s="455"/>
      <c r="E100" s="455"/>
      <c r="F100" s="455"/>
      <c r="G100" s="455"/>
    </row>
    <row r="101" spans="2:7" ht="12.75">
      <c r="B101" s="455"/>
      <c r="C101" s="455"/>
      <c r="D101" s="455"/>
      <c r="E101" s="455"/>
      <c r="F101" s="455"/>
      <c r="G101" s="455"/>
    </row>
    <row r="102" spans="2:7" ht="12.75">
      <c r="B102" s="455"/>
      <c r="C102" s="455"/>
      <c r="D102" s="455"/>
      <c r="E102" s="455"/>
      <c r="F102" s="455"/>
      <c r="G102" s="455"/>
    </row>
    <row r="103" spans="2:7" ht="12.75">
      <c r="B103" s="455"/>
      <c r="C103" s="455"/>
      <c r="D103" s="455"/>
      <c r="E103" s="455"/>
      <c r="F103" s="455"/>
      <c r="G103" s="455"/>
    </row>
    <row r="104" spans="2:7" ht="12.75">
      <c r="B104" s="455"/>
      <c r="C104" s="455"/>
      <c r="D104" s="455"/>
      <c r="E104" s="455"/>
      <c r="F104" s="455"/>
      <c r="G104" s="455"/>
    </row>
    <row r="105" spans="2:7" ht="12.75">
      <c r="B105" s="455"/>
      <c r="C105" s="455"/>
      <c r="D105" s="455"/>
      <c r="E105" s="455"/>
      <c r="F105" s="455"/>
      <c r="G105" s="455"/>
    </row>
    <row r="106" spans="2:7" ht="12.75">
      <c r="B106" s="455"/>
      <c r="C106" s="455"/>
      <c r="D106" s="455"/>
      <c r="E106" s="455"/>
      <c r="F106" s="455"/>
      <c r="G106" s="455"/>
    </row>
    <row r="107" spans="2:7" ht="12.75">
      <c r="B107" s="455"/>
      <c r="C107" s="455"/>
      <c r="D107" s="455"/>
      <c r="E107" s="455"/>
      <c r="F107" s="455"/>
      <c r="G107" s="455"/>
    </row>
    <row r="108" spans="2:7" ht="12.75">
      <c r="B108" s="455"/>
      <c r="C108" s="455"/>
      <c r="D108" s="455"/>
      <c r="E108" s="455"/>
      <c r="F108" s="455"/>
      <c r="G108" s="455"/>
    </row>
    <row r="109" spans="2:7" ht="12.75">
      <c r="B109" s="455"/>
      <c r="C109" s="455"/>
      <c r="D109" s="455"/>
      <c r="E109" s="455"/>
      <c r="F109" s="455"/>
      <c r="G109" s="455"/>
    </row>
    <row r="110" spans="2:7" ht="12.75">
      <c r="B110" s="455"/>
      <c r="C110" s="455"/>
      <c r="D110" s="455"/>
      <c r="E110" s="455"/>
      <c r="F110" s="455"/>
      <c r="G110" s="455"/>
    </row>
    <row r="111" spans="2:7" ht="12.75">
      <c r="B111" s="455"/>
      <c r="C111" s="455"/>
      <c r="D111" s="455"/>
      <c r="E111" s="455"/>
      <c r="F111" s="455"/>
      <c r="G111" s="455"/>
    </row>
    <row r="112" spans="2:7" ht="12.75">
      <c r="B112" s="455"/>
      <c r="C112" s="455"/>
      <c r="D112" s="455"/>
      <c r="E112" s="455"/>
      <c r="F112" s="455"/>
      <c r="G112" s="455"/>
    </row>
    <row r="113" spans="2:7" ht="12.75">
      <c r="B113" s="455"/>
      <c r="C113" s="455"/>
      <c r="D113" s="455"/>
      <c r="E113" s="455"/>
      <c r="F113" s="455"/>
      <c r="G113" s="455"/>
    </row>
    <row r="114" spans="2:7" ht="12.75">
      <c r="B114" s="455"/>
      <c r="C114" s="455"/>
      <c r="D114" s="455"/>
      <c r="E114" s="455"/>
      <c r="F114" s="455"/>
      <c r="G114" s="455"/>
    </row>
    <row r="115" spans="2:7" ht="12.75">
      <c r="B115" s="455"/>
      <c r="C115" s="455"/>
      <c r="D115" s="455"/>
      <c r="E115" s="455"/>
      <c r="F115" s="455"/>
      <c r="G115" s="455"/>
    </row>
    <row r="116" spans="2:7" ht="12.75">
      <c r="B116" s="455"/>
      <c r="C116" s="455"/>
      <c r="D116" s="455"/>
      <c r="E116" s="455"/>
      <c r="F116" s="455"/>
      <c r="G116" s="455"/>
    </row>
    <row r="117" spans="2:7" ht="12.75">
      <c r="B117" s="455"/>
      <c r="C117" s="455"/>
      <c r="D117" s="455"/>
      <c r="E117" s="455"/>
      <c r="F117" s="455"/>
      <c r="G117" s="455"/>
    </row>
    <row r="118" spans="2:7" ht="12.75">
      <c r="B118" s="455"/>
      <c r="C118" s="455"/>
      <c r="D118" s="455"/>
      <c r="E118" s="455"/>
      <c r="F118" s="455"/>
      <c r="G118" s="455"/>
    </row>
    <row r="119" spans="2:7" ht="12.75">
      <c r="B119" s="455"/>
      <c r="C119" s="455"/>
      <c r="D119" s="455"/>
      <c r="E119" s="455"/>
      <c r="F119" s="455"/>
      <c r="G119" s="455"/>
    </row>
    <row r="120" spans="2:7" ht="12.75">
      <c r="B120" s="455"/>
      <c r="C120" s="455"/>
      <c r="D120" s="455"/>
      <c r="E120" s="455"/>
      <c r="F120" s="455"/>
      <c r="G120" s="455"/>
    </row>
    <row r="121" spans="2:7" ht="12.75">
      <c r="B121" s="455"/>
      <c r="C121" s="455"/>
      <c r="D121" s="455"/>
      <c r="E121" s="455"/>
      <c r="F121" s="455"/>
      <c r="G121" s="455"/>
    </row>
    <row r="122" spans="2:7" ht="12.75">
      <c r="B122" s="455"/>
      <c r="C122" s="455"/>
      <c r="D122" s="455"/>
      <c r="E122" s="455"/>
      <c r="F122" s="455"/>
      <c r="G122" s="455"/>
    </row>
    <row r="123" spans="2:7" ht="12.75">
      <c r="B123" s="455"/>
      <c r="C123" s="455"/>
      <c r="D123" s="455"/>
      <c r="E123" s="455"/>
      <c r="F123" s="455"/>
      <c r="G123" s="455"/>
    </row>
    <row r="124" spans="2:7" ht="12.75">
      <c r="B124" s="455"/>
      <c r="C124" s="455"/>
      <c r="D124" s="455"/>
      <c r="E124" s="455"/>
      <c r="F124" s="455"/>
      <c r="G124" s="455"/>
    </row>
    <row r="125" spans="2:7" ht="12.75">
      <c r="B125" s="455"/>
      <c r="C125" s="455"/>
      <c r="D125" s="455"/>
      <c r="E125" s="455"/>
      <c r="F125" s="455"/>
      <c r="G125" s="455"/>
    </row>
    <row r="126" spans="2:7" ht="12.75">
      <c r="B126" s="455"/>
      <c r="C126" s="455"/>
      <c r="D126" s="455"/>
      <c r="E126" s="455"/>
      <c r="F126" s="455"/>
      <c r="G126" s="455"/>
    </row>
    <row r="127" spans="2:7" ht="12.75">
      <c r="B127" s="455"/>
      <c r="C127" s="455"/>
      <c r="D127" s="455"/>
      <c r="E127" s="455"/>
      <c r="F127" s="455"/>
      <c r="G127" s="455"/>
    </row>
    <row r="128" spans="2:7" ht="12.75">
      <c r="B128" s="455"/>
      <c r="C128" s="455"/>
      <c r="D128" s="455"/>
      <c r="E128" s="455"/>
      <c r="F128" s="455"/>
      <c r="G128" s="455"/>
    </row>
    <row r="129" spans="2:7" ht="12.75">
      <c r="B129" s="455"/>
      <c r="C129" s="455"/>
      <c r="D129" s="455"/>
      <c r="E129" s="455"/>
      <c r="F129" s="455"/>
      <c r="G129" s="455"/>
    </row>
    <row r="130" spans="2:7" ht="12.75">
      <c r="B130" s="455"/>
      <c r="C130" s="455"/>
      <c r="D130" s="455"/>
      <c r="E130" s="455"/>
      <c r="F130" s="455"/>
      <c r="G130" s="455"/>
    </row>
    <row r="131" spans="2:7" ht="12.75">
      <c r="B131" s="455"/>
      <c r="C131" s="455"/>
      <c r="D131" s="455"/>
      <c r="E131" s="455"/>
      <c r="F131" s="455"/>
      <c r="G131" s="455"/>
    </row>
    <row r="132" spans="2:7" ht="12.75">
      <c r="B132" s="455"/>
      <c r="C132" s="455"/>
      <c r="D132" s="455"/>
      <c r="E132" s="455"/>
      <c r="F132" s="455"/>
      <c r="G132" s="455"/>
    </row>
    <row r="133" spans="2:7" ht="12.75">
      <c r="B133" s="455"/>
      <c r="C133" s="455"/>
      <c r="D133" s="455"/>
      <c r="E133" s="455"/>
      <c r="F133" s="455"/>
      <c r="G133" s="455"/>
    </row>
    <row r="134" spans="2:7" ht="12.75">
      <c r="B134" s="455"/>
      <c r="C134" s="455"/>
      <c r="D134" s="455"/>
      <c r="E134" s="455"/>
      <c r="F134" s="455"/>
      <c r="G134" s="455"/>
    </row>
    <row r="135" spans="2:7" ht="12.75">
      <c r="B135" s="455"/>
      <c r="C135" s="455"/>
      <c r="D135" s="455"/>
      <c r="E135" s="455"/>
      <c r="F135" s="455"/>
      <c r="G135" s="455"/>
    </row>
    <row r="136" spans="2:7" ht="12.75">
      <c r="B136" s="455"/>
      <c r="C136" s="455"/>
      <c r="D136" s="455"/>
      <c r="E136" s="455"/>
      <c r="F136" s="455"/>
      <c r="G136" s="455"/>
    </row>
    <row r="137" spans="2:7" ht="12.75">
      <c r="B137" s="455"/>
      <c r="C137" s="455"/>
      <c r="D137" s="455"/>
      <c r="E137" s="455"/>
      <c r="F137" s="455"/>
      <c r="G137" s="455"/>
    </row>
    <row r="138" spans="2:7" ht="12.75">
      <c r="B138" s="455"/>
      <c r="C138" s="455"/>
      <c r="D138" s="455"/>
      <c r="E138" s="455"/>
      <c r="F138" s="455"/>
      <c r="G138" s="455"/>
    </row>
    <row r="139" spans="2:7" ht="12.75">
      <c r="B139" s="455"/>
      <c r="C139" s="455"/>
      <c r="D139" s="455"/>
      <c r="E139" s="455"/>
      <c r="F139" s="455"/>
      <c r="G139" s="455"/>
    </row>
    <row r="140" spans="2:7" ht="12.75">
      <c r="B140" s="455"/>
      <c r="C140" s="455"/>
      <c r="D140" s="455"/>
      <c r="E140" s="455"/>
      <c r="F140" s="455"/>
      <c r="G140" s="455"/>
    </row>
    <row r="141" spans="2:7" ht="12.75">
      <c r="B141" s="455"/>
      <c r="C141" s="455"/>
      <c r="D141" s="455"/>
      <c r="E141" s="455"/>
      <c r="F141" s="455"/>
      <c r="G141" s="455"/>
    </row>
    <row r="142" spans="2:7" ht="12.75">
      <c r="B142" s="455"/>
      <c r="C142" s="455"/>
      <c r="D142" s="455"/>
      <c r="E142" s="455"/>
      <c r="F142" s="455"/>
      <c r="G142" s="455"/>
    </row>
    <row r="143" spans="2:7" ht="12.75">
      <c r="B143" s="455"/>
      <c r="C143" s="455"/>
      <c r="D143" s="455"/>
      <c r="E143" s="455"/>
      <c r="F143" s="455"/>
      <c r="G143" s="455"/>
    </row>
    <row r="144" spans="2:7" ht="12.75">
      <c r="B144" s="455"/>
      <c r="C144" s="455"/>
      <c r="D144" s="455"/>
      <c r="E144" s="455"/>
      <c r="F144" s="455"/>
      <c r="G144" s="455"/>
    </row>
    <row r="145" spans="2:7" ht="12.75">
      <c r="B145" s="455"/>
      <c r="C145" s="455"/>
      <c r="D145" s="455"/>
      <c r="E145" s="455"/>
      <c r="F145" s="455"/>
      <c r="G145" s="455"/>
    </row>
    <row r="146" spans="2:7" ht="12.75">
      <c r="B146" s="455"/>
      <c r="C146" s="455"/>
      <c r="D146" s="455"/>
      <c r="E146" s="455"/>
      <c r="F146" s="455"/>
      <c r="G146" s="455"/>
    </row>
    <row r="147" spans="2:7" ht="12.75">
      <c r="B147" s="455"/>
      <c r="C147" s="455"/>
      <c r="D147" s="455"/>
      <c r="E147" s="455"/>
      <c r="F147" s="455"/>
      <c r="G147" s="455"/>
    </row>
    <row r="148" spans="2:7" ht="12.75">
      <c r="B148" s="455"/>
      <c r="C148" s="455"/>
      <c r="D148" s="455"/>
      <c r="E148" s="455"/>
      <c r="F148" s="455"/>
      <c r="G148" s="455"/>
    </row>
    <row r="149" spans="2:7" ht="12.75">
      <c r="B149" s="455"/>
      <c r="C149" s="455"/>
      <c r="D149" s="455"/>
      <c r="E149" s="455"/>
      <c r="F149" s="455"/>
      <c r="G149" s="455"/>
    </row>
    <row r="150" spans="2:7" ht="12.75">
      <c r="B150" s="455"/>
      <c r="C150" s="455"/>
      <c r="D150" s="455"/>
      <c r="E150" s="455"/>
      <c r="F150" s="455"/>
      <c r="G150" s="455"/>
    </row>
    <row r="151" spans="2:7" ht="12.75">
      <c r="B151" s="455"/>
      <c r="C151" s="455"/>
      <c r="D151" s="455"/>
      <c r="E151" s="455"/>
      <c r="F151" s="455"/>
      <c r="G151" s="455"/>
    </row>
    <row r="152" spans="2:7" ht="12.75">
      <c r="B152" s="455"/>
      <c r="C152" s="455"/>
      <c r="D152" s="455"/>
      <c r="E152" s="455"/>
      <c r="F152" s="455"/>
      <c r="G152" s="455"/>
    </row>
    <row r="153" spans="2:7" ht="12.75">
      <c r="B153" s="455"/>
      <c r="C153" s="455"/>
      <c r="D153" s="455"/>
      <c r="E153" s="455"/>
      <c r="F153" s="455"/>
      <c r="G153" s="455"/>
    </row>
    <row r="154" spans="2:7" ht="12.75">
      <c r="B154" s="455"/>
      <c r="C154" s="455"/>
      <c r="D154" s="455"/>
      <c r="E154" s="455"/>
      <c r="F154" s="455"/>
      <c r="G154" s="455"/>
    </row>
    <row r="155" spans="2:7" ht="12.75">
      <c r="B155" s="455"/>
      <c r="C155" s="455"/>
      <c r="D155" s="455"/>
      <c r="E155" s="455"/>
      <c r="F155" s="455"/>
      <c r="G155" s="455"/>
    </row>
    <row r="156" spans="2:7" ht="12.75">
      <c r="B156" s="455"/>
      <c r="C156" s="455"/>
      <c r="D156" s="455"/>
      <c r="E156" s="455"/>
      <c r="F156" s="455"/>
      <c r="G156" s="455"/>
    </row>
    <row r="157" spans="2:7" ht="12.75">
      <c r="B157" s="455"/>
      <c r="C157" s="455"/>
      <c r="D157" s="455"/>
      <c r="E157" s="455"/>
      <c r="F157" s="455"/>
      <c r="G157" s="455"/>
    </row>
    <row r="158" spans="2:7" ht="12.75">
      <c r="B158" s="455"/>
      <c r="C158" s="455"/>
      <c r="D158" s="455"/>
      <c r="E158" s="455"/>
      <c r="F158" s="455"/>
      <c r="G158" s="455"/>
    </row>
    <row r="159" spans="2:7" ht="12.75">
      <c r="B159" s="455"/>
      <c r="C159" s="455"/>
      <c r="D159" s="455"/>
      <c r="E159" s="455"/>
      <c r="F159" s="455"/>
      <c r="G159" s="455"/>
    </row>
    <row r="160" spans="2:7" ht="12.75">
      <c r="B160" s="455"/>
      <c r="C160" s="455"/>
      <c r="D160" s="455"/>
      <c r="E160" s="455"/>
      <c r="F160" s="455"/>
      <c r="G160" s="455"/>
    </row>
    <row r="161" spans="2:7" ht="12.75">
      <c r="B161" s="455"/>
      <c r="C161" s="455"/>
      <c r="D161" s="455"/>
      <c r="E161" s="455"/>
      <c r="F161" s="455"/>
      <c r="G161" s="455"/>
    </row>
    <row r="162" spans="2:7" ht="12.75">
      <c r="B162" s="455"/>
      <c r="C162" s="455"/>
      <c r="D162" s="455"/>
      <c r="E162" s="455"/>
      <c r="F162" s="455"/>
      <c r="G162" s="455"/>
    </row>
  </sheetData>
  <sheetProtection password="C79E" sheet="1" objects="1" scenarios="1"/>
  <hyperlinks>
    <hyperlink ref="A1" location="Start!A1" display="&lt;"/>
    <hyperlink ref="A27" location="Start!A1" display="&lt;"/>
    <hyperlink ref="A95" location="Start!A1" display="&lt;"/>
  </hyperlinks>
  <printOptions/>
  <pageMargins left="0.75" right="0.75" top="1" bottom="1" header="0.5" footer="0.5"/>
  <pageSetup horizontalDpi="600" verticalDpi="600" orientation="portrait" paperSize="9" r:id="rId3"/>
  <headerFooter alignWithMargins="0">
    <oddFooter>&amp;L&amp;D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Anette</dc:creator>
  <cp:keywords/>
  <dc:description/>
  <cp:lastModifiedBy>Kresten</cp:lastModifiedBy>
  <cp:lastPrinted>2011-02-25T16:08:21Z</cp:lastPrinted>
  <dcterms:created xsi:type="dcterms:W3CDTF">1998-08-28T08:56:24Z</dcterms:created>
  <dcterms:modified xsi:type="dcterms:W3CDTF">2012-03-29T14:10:33Z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